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frane\Documents\Projekti\VUS\Financijska izvješća\financijski plan VUŠ 2023-2025\Polugodišnji izvještaj o izvršenju Financijskog plana\MZO\dostavljeno 25-07-2023\"/>
    </mc:Choice>
  </mc:AlternateContent>
  <bookViews>
    <workbookView xWindow="0" yWindow="0" windowWidth="20490" windowHeight="7065" activeTab="1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RASHODI'!$A$74:$V$89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primitaka'!$R$4:$V$117</definedName>
    <definedName name="_xlnm._FilterDatabase" localSheetId="2" hidden="1">'Unos rashoda i izdataka'!$A$1:$T$575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G3" i="25" l="1"/>
  <c r="G4" i="25"/>
  <c r="Q27" i="17" l="1"/>
  <c r="P27" i="17"/>
  <c r="O27" i="17"/>
  <c r="I27" i="17"/>
  <c r="R27" i="17" s="1"/>
  <c r="H27" i="17"/>
  <c r="F27" i="17"/>
  <c r="D27" i="17"/>
  <c r="B27" i="17"/>
  <c r="A27" i="17"/>
  <c r="J63" i="14"/>
  <c r="D63" i="14"/>
  <c r="J68" i="14"/>
  <c r="C68" i="14" s="1"/>
  <c r="S68" i="14"/>
  <c r="N68" i="14"/>
  <c r="N61" i="14"/>
  <c r="J61" i="14"/>
  <c r="D61" i="14"/>
  <c r="C62" i="14"/>
  <c r="C64" i="14"/>
  <c r="C65" i="14"/>
  <c r="C66" i="14"/>
  <c r="C67" i="14"/>
  <c r="C69" i="14"/>
  <c r="C63" i="14" l="1"/>
  <c r="Q8" i="17" l="1"/>
  <c r="P8" i="17"/>
  <c r="O8" i="17"/>
  <c r="I8" i="17"/>
  <c r="R8" i="17" s="1"/>
  <c r="H8" i="17"/>
  <c r="F8" i="17"/>
  <c r="D8" i="17"/>
  <c r="B8" i="17"/>
  <c r="A8" i="17"/>
  <c r="F4" i="25"/>
  <c r="B11" i="4"/>
  <c r="A11" i="4"/>
  <c r="Q10" i="17" l="1"/>
  <c r="P10" i="17"/>
  <c r="O10" i="17"/>
  <c r="Q6" i="17"/>
  <c r="P6" i="17"/>
  <c r="O6" i="17"/>
  <c r="D53" i="14"/>
  <c r="J53" i="14"/>
  <c r="I53" i="14"/>
  <c r="S53" i="14"/>
  <c r="J50" i="14"/>
  <c r="J44" i="14"/>
  <c r="H44" i="14"/>
  <c r="F44" i="14"/>
  <c r="D44" i="14"/>
  <c r="D36" i="14"/>
  <c r="J36" i="14"/>
  <c r="I36" i="14"/>
  <c r="H36" i="14"/>
  <c r="C41" i="14"/>
  <c r="Q21" i="17"/>
  <c r="P21" i="17"/>
  <c r="O21" i="17"/>
  <c r="I21" i="17"/>
  <c r="R21" i="17" s="1"/>
  <c r="H21" i="17"/>
  <c r="F21" i="17"/>
  <c r="D21" i="17"/>
  <c r="B21" i="17"/>
  <c r="A21" i="17"/>
  <c r="S34" i="14"/>
  <c r="J34" i="14"/>
  <c r="I34" i="14"/>
  <c r="H34" i="14"/>
  <c r="Q139" i="17"/>
  <c r="P139" i="17"/>
  <c r="O139" i="17"/>
  <c r="Q137" i="17"/>
  <c r="P137" i="17"/>
  <c r="O137" i="17"/>
  <c r="Q136" i="17"/>
  <c r="P136" i="17"/>
  <c r="O136" i="17"/>
  <c r="Q135" i="17"/>
  <c r="P135" i="17"/>
  <c r="O135" i="17"/>
  <c r="Q134" i="17"/>
  <c r="P134" i="17"/>
  <c r="O134" i="17"/>
  <c r="Q133" i="17"/>
  <c r="P133" i="17"/>
  <c r="O133" i="17"/>
  <c r="Q132" i="17"/>
  <c r="P132" i="17"/>
  <c r="O132" i="17"/>
  <c r="Q124" i="17"/>
  <c r="P124" i="17"/>
  <c r="O124" i="17"/>
  <c r="Q123" i="17"/>
  <c r="P123" i="17"/>
  <c r="O123" i="17"/>
  <c r="Q120" i="17"/>
  <c r="P120" i="17"/>
  <c r="O120" i="17"/>
  <c r="Q119" i="17"/>
  <c r="P119" i="17"/>
  <c r="O119" i="17"/>
  <c r="Q118" i="17"/>
  <c r="P118" i="17"/>
  <c r="O118" i="17"/>
  <c r="Q116" i="17"/>
  <c r="P116" i="17"/>
  <c r="O116" i="17"/>
  <c r="Q115" i="17"/>
  <c r="P115" i="17"/>
  <c r="O115" i="17"/>
  <c r="Q114" i="17"/>
  <c r="P114" i="17"/>
  <c r="O114" i="17"/>
  <c r="Q113" i="17"/>
  <c r="P113" i="17"/>
  <c r="O113" i="17"/>
  <c r="Q111" i="17"/>
  <c r="P111" i="17"/>
  <c r="O111" i="17"/>
  <c r="Q110" i="17"/>
  <c r="P110" i="17"/>
  <c r="O110" i="17"/>
  <c r="Q109" i="17"/>
  <c r="P109" i="17"/>
  <c r="O109" i="17"/>
  <c r="Q105" i="17"/>
  <c r="P105" i="17"/>
  <c r="O105" i="17"/>
  <c r="Q104" i="17"/>
  <c r="P104" i="17"/>
  <c r="O104" i="17"/>
  <c r="Q90" i="17"/>
  <c r="P90" i="17"/>
  <c r="O90" i="17"/>
  <c r="Q76" i="17"/>
  <c r="P76" i="17"/>
  <c r="O76" i="17"/>
  <c r="Q75" i="17"/>
  <c r="P75" i="17"/>
  <c r="O75" i="17"/>
  <c r="Q63" i="17"/>
  <c r="P63" i="17"/>
  <c r="O63" i="17"/>
  <c r="Q41" i="17"/>
  <c r="P41" i="17"/>
  <c r="O41" i="17"/>
  <c r="Q34" i="17"/>
  <c r="P34" i="17"/>
  <c r="O34" i="17"/>
  <c r="Q31" i="17"/>
  <c r="P31" i="17"/>
  <c r="O31" i="17"/>
  <c r="Q30" i="17"/>
  <c r="P30" i="17"/>
  <c r="O30" i="17"/>
  <c r="Q29" i="17"/>
  <c r="P29" i="17"/>
  <c r="O29" i="17"/>
  <c r="Q32" i="17"/>
  <c r="P32" i="17"/>
  <c r="O32" i="17"/>
  <c r="Q26" i="17"/>
  <c r="P26" i="17"/>
  <c r="O26" i="17"/>
  <c r="Q20" i="17"/>
  <c r="P20" i="17"/>
  <c r="O20" i="17"/>
  <c r="Q19" i="17"/>
  <c r="P19" i="17"/>
  <c r="O19" i="17"/>
  <c r="Q18" i="17"/>
  <c r="P18" i="17"/>
  <c r="O18" i="17"/>
  <c r="Q15" i="17"/>
  <c r="P15" i="17"/>
  <c r="O15" i="17"/>
  <c r="D24" i="14"/>
  <c r="S24" i="14"/>
  <c r="J24" i="14"/>
  <c r="I24" i="14"/>
  <c r="H24" i="14"/>
  <c r="C30" i="14"/>
  <c r="J19" i="14"/>
  <c r="I19" i="14"/>
  <c r="H19" i="14"/>
  <c r="F19" i="14"/>
  <c r="S19" i="14"/>
  <c r="S14" i="14"/>
  <c r="J14" i="14"/>
  <c r="I14" i="14"/>
  <c r="H14" i="14"/>
  <c r="F14" i="14"/>
  <c r="D14" i="14"/>
  <c r="S11" i="14"/>
  <c r="J11" i="14"/>
  <c r="H11" i="14"/>
  <c r="D11" i="14"/>
  <c r="F9" i="14" l="1"/>
  <c r="S9" i="14"/>
  <c r="J9" i="14"/>
  <c r="I9" i="14"/>
  <c r="H9" i="14"/>
  <c r="D9" i="14"/>
  <c r="S7" i="14"/>
  <c r="J7" i="14"/>
  <c r="H7" i="14"/>
  <c r="D7" i="14"/>
  <c r="B139" i="17"/>
  <c r="A139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24" i="17"/>
  <c r="A124" i="17"/>
  <c r="B120" i="17"/>
  <c r="A120" i="17"/>
  <c r="B119" i="17"/>
  <c r="A119" i="17"/>
  <c r="B118" i="17"/>
  <c r="A118" i="17"/>
  <c r="B116" i="17"/>
  <c r="A116" i="17"/>
  <c r="B115" i="17"/>
  <c r="A115" i="17"/>
  <c r="B114" i="17"/>
  <c r="A114" i="17"/>
  <c r="B113" i="17"/>
  <c r="A113" i="17"/>
  <c r="B111" i="17"/>
  <c r="A111" i="17"/>
  <c r="B110" i="17"/>
  <c r="A110" i="17"/>
  <c r="B109" i="17"/>
  <c r="A109" i="17"/>
  <c r="B105" i="17"/>
  <c r="A105" i="17"/>
  <c r="B104" i="17"/>
  <c r="A104" i="17"/>
  <c r="B90" i="17"/>
  <c r="A90" i="17"/>
  <c r="B76" i="17"/>
  <c r="A76" i="17"/>
  <c r="B75" i="17"/>
  <c r="A75" i="17"/>
  <c r="B63" i="17"/>
  <c r="A63" i="17"/>
  <c r="B41" i="17"/>
  <c r="A41" i="17"/>
  <c r="B34" i="17"/>
  <c r="A34" i="17"/>
  <c r="B32" i="17"/>
  <c r="B31" i="17"/>
  <c r="B30" i="17"/>
  <c r="A32" i="17"/>
  <c r="A31" i="17"/>
  <c r="A30" i="17"/>
  <c r="B29" i="17"/>
  <c r="A29" i="17"/>
  <c r="B26" i="17"/>
  <c r="A26" i="17"/>
  <c r="B20" i="17"/>
  <c r="A20" i="17"/>
  <c r="B19" i="17"/>
  <c r="A19" i="17"/>
  <c r="B18" i="17"/>
  <c r="A18" i="17"/>
  <c r="B15" i="17"/>
  <c r="A15" i="17"/>
  <c r="B10" i="17"/>
  <c r="A10" i="17"/>
  <c r="B6" i="17"/>
  <c r="A6" i="17"/>
  <c r="I26" i="17" l="1"/>
  <c r="R26" i="17" s="1"/>
  <c r="H26" i="17"/>
  <c r="F26" i="17"/>
  <c r="D26" i="17"/>
  <c r="I20" i="17"/>
  <c r="R20" i="17" s="1"/>
  <c r="H20" i="17"/>
  <c r="F20" i="17"/>
  <c r="D20" i="17"/>
  <c r="I19" i="17"/>
  <c r="R19" i="17" s="1"/>
  <c r="H19" i="17"/>
  <c r="F19" i="17"/>
  <c r="D19" i="17"/>
  <c r="I18" i="17"/>
  <c r="R18" i="17" s="1"/>
  <c r="H18" i="17"/>
  <c r="F18" i="17"/>
  <c r="D18" i="17"/>
  <c r="I15" i="17"/>
  <c r="R15" i="17" s="1"/>
  <c r="H15" i="17"/>
  <c r="F15" i="17"/>
  <c r="D15" i="17"/>
  <c r="I10" i="17"/>
  <c r="R10" i="17" s="1"/>
  <c r="H10" i="17"/>
  <c r="F10" i="17"/>
  <c r="D10" i="17"/>
  <c r="I6" i="17"/>
  <c r="R6" i="17" s="1"/>
  <c r="H6" i="17"/>
  <c r="F6" i="17"/>
  <c r="D6" i="17"/>
  <c r="I160" i="17"/>
  <c r="H160" i="17"/>
  <c r="I159" i="17"/>
  <c r="H159" i="17"/>
  <c r="I139" i="17"/>
  <c r="R139" i="17" s="1"/>
  <c r="H139" i="17"/>
  <c r="F139" i="17"/>
  <c r="D139" i="17"/>
  <c r="I116" i="17"/>
  <c r="R116" i="17" s="1"/>
  <c r="H116" i="17"/>
  <c r="I115" i="17"/>
  <c r="R115" i="17" s="1"/>
  <c r="H115" i="17"/>
  <c r="I114" i="17"/>
  <c r="R114" i="17" s="1"/>
  <c r="H114" i="17"/>
  <c r="F116" i="17"/>
  <c r="F115" i="17"/>
  <c r="F114" i="17"/>
  <c r="D116" i="17"/>
  <c r="D115" i="17"/>
  <c r="D114" i="17"/>
  <c r="I113" i="17"/>
  <c r="R113" i="17" s="1"/>
  <c r="H113" i="17"/>
  <c r="H117" i="17"/>
  <c r="I117" i="17"/>
  <c r="F113" i="17"/>
  <c r="D113" i="17"/>
  <c r="I111" i="17"/>
  <c r="R111" i="17" s="1"/>
  <c r="H111" i="17"/>
  <c r="F111" i="17"/>
  <c r="D111" i="17"/>
  <c r="I110" i="17"/>
  <c r="R110" i="17" s="1"/>
  <c r="H110" i="17"/>
  <c r="F110" i="17"/>
  <c r="D110" i="17"/>
  <c r="I109" i="17"/>
  <c r="R109" i="17" s="1"/>
  <c r="H109" i="17"/>
  <c r="F109" i="17"/>
  <c r="D109" i="17"/>
  <c r="I105" i="17"/>
  <c r="R105" i="17" s="1"/>
  <c r="H105" i="17"/>
  <c r="I104" i="17"/>
  <c r="R104" i="17" s="1"/>
  <c r="H104" i="17"/>
  <c r="F105" i="17"/>
  <c r="F104" i="17"/>
  <c r="D105" i="17"/>
  <c r="D104" i="17"/>
  <c r="I90" i="17"/>
  <c r="R90" i="17" s="1"/>
  <c r="H90" i="17"/>
  <c r="F90" i="17"/>
  <c r="D90" i="17"/>
  <c r="I137" i="17"/>
  <c r="R137" i="17" s="1"/>
  <c r="H137" i="17"/>
  <c r="F137" i="17"/>
  <c r="D137" i="17"/>
  <c r="I136" i="17"/>
  <c r="R136" i="17" s="1"/>
  <c r="H136" i="17"/>
  <c r="F136" i="17"/>
  <c r="D136" i="17"/>
  <c r="I135" i="17"/>
  <c r="R135" i="17" s="1"/>
  <c r="H135" i="17"/>
  <c r="F135" i="17"/>
  <c r="D135" i="17"/>
  <c r="I134" i="17"/>
  <c r="R134" i="17" s="1"/>
  <c r="H134" i="17"/>
  <c r="F134" i="17"/>
  <c r="D134" i="17"/>
  <c r="I133" i="17"/>
  <c r="R133" i="17" s="1"/>
  <c r="H133" i="17"/>
  <c r="F133" i="17"/>
  <c r="D133" i="17"/>
  <c r="I132" i="17"/>
  <c r="R132" i="17" s="1"/>
  <c r="H132" i="17"/>
  <c r="F132" i="17"/>
  <c r="D132" i="17"/>
  <c r="I124" i="17"/>
  <c r="R124" i="17" s="1"/>
  <c r="H124" i="17"/>
  <c r="D124" i="17"/>
  <c r="F124" i="17"/>
  <c r="I120" i="17"/>
  <c r="R120" i="17" s="1"/>
  <c r="H120" i="17"/>
  <c r="F120" i="17"/>
  <c r="D120" i="17"/>
  <c r="I119" i="17"/>
  <c r="R119" i="17" s="1"/>
  <c r="H119" i="17"/>
  <c r="F119" i="17"/>
  <c r="D119" i="17"/>
  <c r="I118" i="17"/>
  <c r="R118" i="17" s="1"/>
  <c r="H118" i="17"/>
  <c r="F118" i="17"/>
  <c r="D118" i="17"/>
  <c r="I41" i="17"/>
  <c r="R41" i="17" s="1"/>
  <c r="H41" i="17"/>
  <c r="F41" i="17"/>
  <c r="D41" i="17"/>
  <c r="I34" i="17"/>
  <c r="R34" i="17" s="1"/>
  <c r="H34" i="17"/>
  <c r="F34" i="17"/>
  <c r="D34" i="17"/>
  <c r="I32" i="17"/>
  <c r="R32" i="17" s="1"/>
  <c r="H32" i="17"/>
  <c r="F32" i="17"/>
  <c r="D32" i="17"/>
  <c r="I31" i="17"/>
  <c r="R31" i="17" s="1"/>
  <c r="H31" i="17"/>
  <c r="F31" i="17"/>
  <c r="D31" i="17"/>
  <c r="I30" i="17"/>
  <c r="R30" i="17" s="1"/>
  <c r="H30" i="17"/>
  <c r="F30" i="17"/>
  <c r="D30" i="17"/>
  <c r="I29" i="17"/>
  <c r="R29" i="17" s="1"/>
  <c r="H29" i="17"/>
  <c r="F29" i="17"/>
  <c r="D29" i="17"/>
  <c r="I76" i="17"/>
  <c r="R76" i="17" s="1"/>
  <c r="H76" i="17"/>
  <c r="I75" i="17"/>
  <c r="R75" i="17" s="1"/>
  <c r="H75" i="17"/>
  <c r="F76" i="17"/>
  <c r="F75" i="17"/>
  <c r="D76" i="17"/>
  <c r="D75" i="17"/>
  <c r="I63" i="17"/>
  <c r="R63" i="17" s="1"/>
  <c r="H63" i="17"/>
  <c r="F63" i="17"/>
  <c r="D63" i="17"/>
  <c r="C9" i="14" l="1"/>
  <c r="C10" i="14"/>
  <c r="C11" i="14"/>
  <c r="C12" i="14"/>
  <c r="C14" i="14"/>
  <c r="C15" i="14"/>
  <c r="C16" i="14"/>
  <c r="C17" i="14"/>
  <c r="C18" i="14"/>
  <c r="C20" i="14"/>
  <c r="C21" i="14"/>
  <c r="C22" i="14"/>
  <c r="C25" i="14"/>
  <c r="C26" i="14"/>
  <c r="C27" i="14"/>
  <c r="C28" i="14"/>
  <c r="C29" i="14"/>
  <c r="C31" i="14"/>
  <c r="C32" i="14"/>
  <c r="C33" i="14"/>
  <c r="C34" i="14"/>
  <c r="C35" i="14"/>
  <c r="C36" i="14"/>
  <c r="C38" i="14"/>
  <c r="C39" i="14"/>
  <c r="C40" i="14"/>
  <c r="C42" i="14"/>
  <c r="C44" i="14"/>
  <c r="C45" i="14"/>
  <c r="C46" i="14"/>
  <c r="C51" i="14"/>
  <c r="C53" i="14"/>
  <c r="C54" i="14"/>
  <c r="C56" i="14"/>
  <c r="C57" i="14"/>
  <c r="H97" i="14"/>
  <c r="F97" i="14"/>
  <c r="D97" i="14"/>
  <c r="C98" i="14"/>
  <c r="C24" i="14" l="1"/>
  <c r="C97" i="14"/>
  <c r="H153" i="14" l="1"/>
  <c r="C153" i="14" s="1"/>
  <c r="I151" i="14"/>
  <c r="G151" i="14"/>
  <c r="F147" i="14"/>
  <c r="N147" i="14"/>
  <c r="N145" i="14"/>
  <c r="C154" i="14"/>
  <c r="C152" i="14"/>
  <c r="C150" i="14"/>
  <c r="C149" i="14"/>
  <c r="C148" i="14"/>
  <c r="C146" i="14"/>
  <c r="J137" i="14"/>
  <c r="H137" i="14"/>
  <c r="F140" i="14"/>
  <c r="C140" i="14" s="1"/>
  <c r="C141" i="14"/>
  <c r="C138" i="14"/>
  <c r="I132" i="14"/>
  <c r="H132" i="14"/>
  <c r="F132" i="14"/>
  <c r="C133" i="14"/>
  <c r="E134" i="14"/>
  <c r="G134" i="14"/>
  <c r="K134" i="14"/>
  <c r="L134" i="14"/>
  <c r="M134" i="14"/>
  <c r="O134" i="14"/>
  <c r="P134" i="14"/>
  <c r="R134" i="14"/>
  <c r="T134" i="14"/>
  <c r="U134" i="14"/>
  <c r="V134" i="14"/>
  <c r="E135" i="14"/>
  <c r="G135" i="14"/>
  <c r="K135" i="14"/>
  <c r="L135" i="14"/>
  <c r="M135" i="14"/>
  <c r="O135" i="14"/>
  <c r="P135" i="14"/>
  <c r="R135" i="14"/>
  <c r="T135" i="14"/>
  <c r="U135" i="14"/>
  <c r="V135" i="14"/>
  <c r="J124" i="14"/>
  <c r="H124" i="14"/>
  <c r="F124" i="14"/>
  <c r="S122" i="14"/>
  <c r="J122" i="14"/>
  <c r="H122" i="14"/>
  <c r="F122" i="14"/>
  <c r="F113" i="14"/>
  <c r="S113" i="14"/>
  <c r="J113" i="14"/>
  <c r="I113" i="14"/>
  <c r="H113" i="14"/>
  <c r="S107" i="14"/>
  <c r="J107" i="14"/>
  <c r="I107" i="14"/>
  <c r="H107" i="14"/>
  <c r="S102" i="14"/>
  <c r="J102" i="14"/>
  <c r="I102" i="14"/>
  <c r="H102" i="14"/>
  <c r="D102" i="14"/>
  <c r="S99" i="14"/>
  <c r="J99" i="14"/>
  <c r="H99" i="14"/>
  <c r="D99" i="14"/>
  <c r="S95" i="14"/>
  <c r="J95" i="14"/>
  <c r="H95" i="14"/>
  <c r="D95" i="14"/>
  <c r="C103" i="14"/>
  <c r="C104" i="14"/>
  <c r="C105" i="14"/>
  <c r="C106" i="14"/>
  <c r="C108" i="14"/>
  <c r="C114" i="14"/>
  <c r="C115" i="14"/>
  <c r="C116" i="14"/>
  <c r="C117" i="14"/>
  <c r="C118" i="14"/>
  <c r="C119" i="14"/>
  <c r="C120" i="14"/>
  <c r="C121" i="14"/>
  <c r="C123" i="14"/>
  <c r="C125" i="14"/>
  <c r="C126" i="14"/>
  <c r="C127" i="14"/>
  <c r="C128" i="14"/>
  <c r="C129" i="14"/>
  <c r="C130" i="14"/>
  <c r="C151" i="14" l="1"/>
  <c r="C147" i="14"/>
  <c r="C137" i="14"/>
  <c r="C124" i="14"/>
  <c r="C102" i="14"/>
  <c r="C122" i="14"/>
  <c r="C113" i="14"/>
  <c r="C109" i="14"/>
  <c r="C110" i="14"/>
  <c r="C111" i="14" l="1"/>
  <c r="C112" i="14" l="1"/>
  <c r="O85" i="17" l="1"/>
  <c r="P85" i="17"/>
  <c r="Q85" i="17"/>
  <c r="O86" i="17"/>
  <c r="P86" i="17"/>
  <c r="Q86" i="17"/>
  <c r="O87" i="17"/>
  <c r="P87" i="17"/>
  <c r="Q87" i="17"/>
  <c r="O88" i="17"/>
  <c r="P88" i="17"/>
  <c r="Q88" i="17"/>
  <c r="O89" i="17"/>
  <c r="P89" i="17"/>
  <c r="Q89" i="17"/>
  <c r="O91" i="17"/>
  <c r="P91" i="17"/>
  <c r="Q91" i="17"/>
  <c r="O92" i="17"/>
  <c r="P92" i="17"/>
  <c r="Q92" i="17"/>
  <c r="O93" i="17"/>
  <c r="P93" i="17"/>
  <c r="Q93" i="17"/>
  <c r="O94" i="17"/>
  <c r="P94" i="17"/>
  <c r="Q94" i="17"/>
  <c r="O95" i="17"/>
  <c r="P95" i="17"/>
  <c r="Q95" i="17"/>
  <c r="O96" i="17"/>
  <c r="P96" i="17"/>
  <c r="Q96" i="17"/>
  <c r="O97" i="17"/>
  <c r="P97" i="17"/>
  <c r="Q97" i="17"/>
  <c r="O98" i="17"/>
  <c r="P98" i="17"/>
  <c r="Q98" i="17"/>
  <c r="O99" i="17"/>
  <c r="P99" i="17"/>
  <c r="Q99" i="17"/>
  <c r="O100" i="17"/>
  <c r="P100" i="17"/>
  <c r="Q100" i="17"/>
  <c r="O101" i="17"/>
  <c r="P101" i="17"/>
  <c r="Q101" i="17"/>
  <c r="O102" i="17"/>
  <c r="P102" i="17"/>
  <c r="Q102" i="17"/>
  <c r="O103" i="17"/>
  <c r="P103" i="17"/>
  <c r="Q103" i="17"/>
  <c r="O106" i="17"/>
  <c r="P106" i="17"/>
  <c r="Q106" i="17"/>
  <c r="O107" i="17"/>
  <c r="P107" i="17"/>
  <c r="Q107" i="17"/>
  <c r="O108" i="17"/>
  <c r="P108" i="17"/>
  <c r="Q108" i="17"/>
  <c r="O112" i="17"/>
  <c r="P112" i="17"/>
  <c r="Q112" i="17"/>
  <c r="O117" i="17"/>
  <c r="P117" i="17"/>
  <c r="Q117" i="17"/>
  <c r="O121" i="17"/>
  <c r="P121" i="17"/>
  <c r="Q121" i="17"/>
  <c r="O122" i="17"/>
  <c r="P122" i="17"/>
  <c r="Q122" i="17"/>
  <c r="O125" i="17"/>
  <c r="P125" i="17"/>
  <c r="Q125" i="17"/>
  <c r="O126" i="17"/>
  <c r="P126" i="17"/>
  <c r="Q126" i="17"/>
  <c r="O127" i="17"/>
  <c r="P127" i="17"/>
  <c r="Q127" i="17"/>
  <c r="O128" i="17"/>
  <c r="P128" i="17"/>
  <c r="Q128" i="17"/>
  <c r="O129" i="17"/>
  <c r="P129" i="17"/>
  <c r="Q129" i="17"/>
  <c r="O130" i="17"/>
  <c r="P130" i="17"/>
  <c r="Q130" i="17"/>
  <c r="O131" i="17"/>
  <c r="P131" i="17"/>
  <c r="Q131" i="17"/>
  <c r="O138" i="17"/>
  <c r="P138" i="17"/>
  <c r="Q138" i="17"/>
  <c r="O140" i="17"/>
  <c r="P140" i="17"/>
  <c r="Q140" i="17"/>
  <c r="O141" i="17"/>
  <c r="P141" i="17"/>
  <c r="Q141" i="17"/>
  <c r="O142" i="17"/>
  <c r="P142" i="17"/>
  <c r="Q142" i="17"/>
  <c r="O143" i="17"/>
  <c r="P143" i="17"/>
  <c r="Q143" i="17"/>
  <c r="O144" i="17"/>
  <c r="P144" i="17"/>
  <c r="Q144" i="17"/>
  <c r="O145" i="17"/>
  <c r="P145" i="17"/>
  <c r="Q145" i="17"/>
  <c r="O146" i="17"/>
  <c r="P146" i="17"/>
  <c r="Q146" i="17"/>
  <c r="O147" i="17"/>
  <c r="P147" i="17"/>
  <c r="Q147" i="17"/>
  <c r="O148" i="17"/>
  <c r="P148" i="17"/>
  <c r="Q148" i="17"/>
  <c r="O149" i="17"/>
  <c r="P149" i="17"/>
  <c r="Q149" i="17"/>
  <c r="O150" i="17"/>
  <c r="P150" i="17"/>
  <c r="Q150" i="17"/>
  <c r="O151" i="17"/>
  <c r="P151" i="17"/>
  <c r="Q151" i="17"/>
  <c r="O152" i="17"/>
  <c r="P152" i="17"/>
  <c r="Q152" i="17"/>
  <c r="O153" i="17"/>
  <c r="P153" i="17"/>
  <c r="Q153" i="17"/>
  <c r="O154" i="17"/>
  <c r="P154" i="17"/>
  <c r="Q154" i="17"/>
  <c r="O155" i="17"/>
  <c r="P155" i="17"/>
  <c r="Q155" i="17"/>
  <c r="O156" i="17"/>
  <c r="P156" i="17"/>
  <c r="Q156" i="17"/>
  <c r="O157" i="17"/>
  <c r="P157" i="17"/>
  <c r="Q157" i="17"/>
  <c r="O158" i="17"/>
  <c r="P158" i="17"/>
  <c r="Q158" i="17"/>
  <c r="O77" i="17"/>
  <c r="P77" i="17"/>
  <c r="Q77" i="17"/>
  <c r="O59" i="17"/>
  <c r="P59" i="17"/>
  <c r="Q59" i="17"/>
  <c r="O54" i="17"/>
  <c r="P54" i="17"/>
  <c r="Q54" i="17"/>
  <c r="O55" i="17"/>
  <c r="P55" i="17"/>
  <c r="Q55" i="17"/>
  <c r="O35" i="17"/>
  <c r="P35" i="17"/>
  <c r="Q35" i="17"/>
  <c r="O36" i="17"/>
  <c r="P36" i="17"/>
  <c r="Q36" i="17"/>
  <c r="O37" i="17"/>
  <c r="P37" i="17"/>
  <c r="Q37" i="17"/>
  <c r="O38" i="17"/>
  <c r="P38" i="17"/>
  <c r="Q38" i="17"/>
  <c r="O39" i="17"/>
  <c r="P39" i="17"/>
  <c r="Q39" i="17"/>
  <c r="O40" i="17"/>
  <c r="P40" i="17"/>
  <c r="Q40" i="17"/>
  <c r="O42" i="17"/>
  <c r="P42" i="17"/>
  <c r="Q42" i="17"/>
  <c r="O43" i="17"/>
  <c r="P43" i="17"/>
  <c r="Q43" i="17"/>
  <c r="R117" i="17"/>
  <c r="I112" i="17"/>
  <c r="R112" i="17" s="1"/>
  <c r="H112" i="17"/>
  <c r="I108" i="17"/>
  <c r="R108" i="17" s="1"/>
  <c r="H108" i="17"/>
  <c r="I107" i="17"/>
  <c r="R107" i="17" s="1"/>
  <c r="H107" i="17"/>
  <c r="I106" i="17"/>
  <c r="R106" i="17" s="1"/>
  <c r="H106" i="17"/>
  <c r="I103" i="17"/>
  <c r="R103" i="17" s="1"/>
  <c r="H103" i="17"/>
  <c r="I102" i="17"/>
  <c r="R102" i="17" s="1"/>
  <c r="H102" i="17"/>
  <c r="I101" i="17"/>
  <c r="R101" i="17" s="1"/>
  <c r="H101" i="17"/>
  <c r="I100" i="17"/>
  <c r="R100" i="17" s="1"/>
  <c r="H100" i="17"/>
  <c r="I99" i="17"/>
  <c r="R99" i="17" s="1"/>
  <c r="H99" i="17"/>
  <c r="I98" i="17"/>
  <c r="R98" i="17" s="1"/>
  <c r="H98" i="17"/>
  <c r="I97" i="17"/>
  <c r="R97" i="17" s="1"/>
  <c r="H97" i="17"/>
  <c r="I96" i="17"/>
  <c r="R96" i="17" s="1"/>
  <c r="H96" i="17"/>
  <c r="I95" i="17"/>
  <c r="R95" i="17" s="1"/>
  <c r="H95" i="17"/>
  <c r="I94" i="17"/>
  <c r="R94" i="17" s="1"/>
  <c r="H94" i="17"/>
  <c r="I93" i="17"/>
  <c r="R93" i="17" s="1"/>
  <c r="H93" i="17"/>
  <c r="I92" i="17"/>
  <c r="R92" i="17" s="1"/>
  <c r="H92" i="17"/>
  <c r="I91" i="17"/>
  <c r="R91" i="17" s="1"/>
  <c r="H91" i="17"/>
  <c r="I89" i="17"/>
  <c r="R89" i="17" s="1"/>
  <c r="H89" i="17"/>
  <c r="I88" i="17"/>
  <c r="R88" i="17" s="1"/>
  <c r="H88" i="17"/>
  <c r="I87" i="17"/>
  <c r="R87" i="17" s="1"/>
  <c r="H87" i="17"/>
  <c r="I86" i="17"/>
  <c r="R86" i="17" s="1"/>
  <c r="H86" i="17"/>
  <c r="I85" i="17"/>
  <c r="R85" i="17" s="1"/>
  <c r="H85" i="17"/>
  <c r="D117" i="17"/>
  <c r="D112" i="17"/>
  <c r="D108" i="17"/>
  <c r="D107" i="17"/>
  <c r="D106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89" i="17"/>
  <c r="D88" i="17"/>
  <c r="D87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89" i="17"/>
  <c r="A89" i="17"/>
  <c r="B88" i="17"/>
  <c r="A88" i="17"/>
  <c r="B87" i="17"/>
  <c r="A87" i="17"/>
  <c r="F117" i="17"/>
  <c r="F112" i="17"/>
  <c r="F108" i="17"/>
  <c r="F107" i="17"/>
  <c r="F106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89" i="17"/>
  <c r="F88" i="17"/>
  <c r="F87" i="17"/>
  <c r="F86" i="17"/>
  <c r="F85" i="17"/>
  <c r="D86" i="17"/>
  <c r="B117" i="17"/>
  <c r="A117" i="17"/>
  <c r="B112" i="17"/>
  <c r="A112" i="17"/>
  <c r="B108" i="17"/>
  <c r="A108" i="17"/>
  <c r="B107" i="17"/>
  <c r="A107" i="17"/>
  <c r="B106" i="17"/>
  <c r="A106" i="17"/>
  <c r="B103" i="17"/>
  <c r="A103" i="17"/>
  <c r="B102" i="17"/>
  <c r="A102" i="17"/>
  <c r="B86" i="17"/>
  <c r="A86" i="17"/>
  <c r="B85" i="17"/>
  <c r="A85" i="17"/>
  <c r="D85" i="17"/>
  <c r="B77" i="17"/>
  <c r="A77" i="17"/>
  <c r="D77" i="17"/>
  <c r="I77" i="17"/>
  <c r="R77" i="17" s="1"/>
  <c r="H77" i="17"/>
  <c r="F77" i="17"/>
  <c r="D59" i="17"/>
  <c r="B59" i="17"/>
  <c r="A59" i="17"/>
  <c r="I59" i="17"/>
  <c r="R59" i="17" s="1"/>
  <c r="H59" i="17"/>
  <c r="F59" i="17"/>
  <c r="I55" i="17"/>
  <c r="R55" i="17" s="1"/>
  <c r="H55" i="17"/>
  <c r="I54" i="17"/>
  <c r="R54" i="17" s="1"/>
  <c r="H54" i="17"/>
  <c r="D55" i="17"/>
  <c r="B55" i="17"/>
  <c r="A55" i="17"/>
  <c r="D54" i="17"/>
  <c r="B54" i="17"/>
  <c r="A54" i="17"/>
  <c r="F55" i="17"/>
  <c r="F54" i="17"/>
  <c r="D131" i="17"/>
  <c r="D130" i="17"/>
  <c r="D129" i="17"/>
  <c r="D128" i="17"/>
  <c r="D127" i="17"/>
  <c r="D126" i="17"/>
  <c r="D125" i="17"/>
  <c r="D123" i="17"/>
  <c r="D122" i="17"/>
  <c r="B122" i="17"/>
  <c r="A122" i="17"/>
  <c r="F131" i="17"/>
  <c r="F130" i="17"/>
  <c r="F129" i="17"/>
  <c r="F128" i="17"/>
  <c r="F127" i="17"/>
  <c r="F126" i="17"/>
  <c r="F125" i="17"/>
  <c r="F123" i="17"/>
  <c r="F122" i="17"/>
  <c r="F121" i="17"/>
  <c r="D121" i="17"/>
  <c r="I135" i="14" l="1"/>
  <c r="I134" i="14"/>
  <c r="I42" i="17"/>
  <c r="R42" i="17" s="1"/>
  <c r="I40" i="17"/>
  <c r="R40" i="17" s="1"/>
  <c r="I39" i="17"/>
  <c r="R39" i="17" s="1"/>
  <c r="I38" i="17"/>
  <c r="R38" i="17" s="1"/>
  <c r="I37" i="17"/>
  <c r="R37" i="17" s="1"/>
  <c r="I43" i="17"/>
  <c r="R43" i="17" s="1"/>
  <c r="I46" i="17"/>
  <c r="I45" i="17"/>
  <c r="I44" i="17"/>
  <c r="I36" i="17"/>
  <c r="R36" i="17" s="1"/>
  <c r="I35" i="17"/>
  <c r="R35" i="17" s="1"/>
  <c r="H43" i="17"/>
  <c r="H42" i="17"/>
  <c r="H40" i="17"/>
  <c r="H39" i="17"/>
  <c r="H38" i="17"/>
  <c r="H37" i="17"/>
  <c r="H36" i="17"/>
  <c r="H35" i="17"/>
  <c r="F43" i="17"/>
  <c r="F42" i="17"/>
  <c r="F40" i="17"/>
  <c r="F39" i="17"/>
  <c r="F38" i="17"/>
  <c r="F37" i="17"/>
  <c r="F36" i="17"/>
  <c r="F35" i="17"/>
  <c r="B43" i="17"/>
  <c r="A43" i="17"/>
  <c r="B42" i="17"/>
  <c r="A42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D43" i="17"/>
  <c r="D42" i="17"/>
  <c r="D40" i="17"/>
  <c r="D39" i="17"/>
  <c r="D38" i="17"/>
  <c r="D37" i="17"/>
  <c r="D36" i="17"/>
  <c r="D35" i="17"/>
  <c r="C100" i="14" l="1"/>
  <c r="C99" i="14"/>
  <c r="C96" i="14"/>
  <c r="C95" i="14" s="1"/>
  <c r="C7" i="14"/>
  <c r="C8" i="14"/>
  <c r="M38" i="4" l="1"/>
  <c r="N227" i="17"/>
  <c r="N225" i="17"/>
  <c r="N224" i="17"/>
  <c r="N226" i="17" l="1"/>
  <c r="N228" i="17" s="1"/>
  <c r="AG941" i="25"/>
  <c r="AF941" i="25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T4" i="25"/>
  <c r="G81" i="25"/>
  <c r="T81" i="25" s="1"/>
  <c r="G33" i="25"/>
  <c r="T33" i="25" s="1"/>
  <c r="V157" i="14"/>
  <c r="T157" i="14"/>
  <c r="R157" i="14"/>
  <c r="P157" i="14"/>
  <c r="O157" i="14"/>
  <c r="L157" i="14"/>
  <c r="K157" i="14"/>
  <c r="G157" i="14"/>
  <c r="V156" i="14"/>
  <c r="T156" i="14"/>
  <c r="R156" i="14"/>
  <c r="P156" i="14"/>
  <c r="O156" i="14"/>
  <c r="L156" i="14"/>
  <c r="K156" i="14"/>
  <c r="G156" i="14"/>
  <c r="V155" i="14"/>
  <c r="T155" i="14"/>
  <c r="R155" i="14"/>
  <c r="P155" i="14"/>
  <c r="O155" i="14"/>
  <c r="L155" i="14"/>
  <c r="K155" i="14"/>
  <c r="G155" i="14"/>
  <c r="V144" i="14"/>
  <c r="T144" i="14"/>
  <c r="R144" i="14"/>
  <c r="P144" i="14"/>
  <c r="O144" i="14"/>
  <c r="L144" i="14"/>
  <c r="K144" i="14"/>
  <c r="G144" i="14"/>
  <c r="V143" i="14"/>
  <c r="T143" i="14"/>
  <c r="R143" i="14"/>
  <c r="P143" i="14"/>
  <c r="P142" i="14" s="1"/>
  <c r="O143" i="14"/>
  <c r="L143" i="14"/>
  <c r="L142" i="14" s="1"/>
  <c r="K143" i="14"/>
  <c r="K142" i="14" s="1"/>
  <c r="G143" i="14"/>
  <c r="V139" i="14"/>
  <c r="T139" i="14"/>
  <c r="R139" i="14"/>
  <c r="P139" i="14"/>
  <c r="O139" i="14"/>
  <c r="L139" i="14"/>
  <c r="K139" i="14"/>
  <c r="G139" i="14"/>
  <c r="V136" i="14"/>
  <c r="T136" i="14"/>
  <c r="R136" i="14"/>
  <c r="P136" i="14"/>
  <c r="O136" i="14"/>
  <c r="L136" i="14"/>
  <c r="K136" i="14"/>
  <c r="G136" i="14"/>
  <c r="V131" i="14"/>
  <c r="T131" i="14"/>
  <c r="R131" i="14"/>
  <c r="P131" i="14"/>
  <c r="O131" i="14"/>
  <c r="L131" i="14"/>
  <c r="K131" i="14"/>
  <c r="G131" i="14"/>
  <c r="V101" i="14"/>
  <c r="T101" i="14"/>
  <c r="R101" i="14"/>
  <c r="P101" i="14"/>
  <c r="O101" i="14"/>
  <c r="L101" i="14"/>
  <c r="K101" i="14"/>
  <c r="G101" i="14"/>
  <c r="V94" i="14"/>
  <c r="T94" i="14"/>
  <c r="R94" i="14"/>
  <c r="P94" i="14"/>
  <c r="P93" i="14" s="1"/>
  <c r="O94" i="14"/>
  <c r="O93" i="14" s="1"/>
  <c r="L94" i="14"/>
  <c r="K94" i="14"/>
  <c r="G94" i="14"/>
  <c r="V89" i="14"/>
  <c r="T89" i="14"/>
  <c r="R89" i="14"/>
  <c r="P89" i="14"/>
  <c r="O89" i="14"/>
  <c r="L89" i="14"/>
  <c r="K89" i="14"/>
  <c r="G89" i="14"/>
  <c r="V88" i="14"/>
  <c r="T88" i="14"/>
  <c r="R88" i="14"/>
  <c r="P88" i="14"/>
  <c r="O88" i="14"/>
  <c r="L88" i="14"/>
  <c r="K88" i="14"/>
  <c r="G88" i="14"/>
  <c r="V87" i="14"/>
  <c r="T87" i="14"/>
  <c r="R87" i="14"/>
  <c r="P87" i="14"/>
  <c r="O87" i="14"/>
  <c r="L87" i="14"/>
  <c r="K87" i="14"/>
  <c r="G87" i="14"/>
  <c r="V86" i="14"/>
  <c r="T86" i="14"/>
  <c r="R86" i="14"/>
  <c r="P86" i="14"/>
  <c r="O86" i="14"/>
  <c r="L86" i="14"/>
  <c r="K86" i="14"/>
  <c r="G86" i="14"/>
  <c r="V85" i="14"/>
  <c r="T85" i="14"/>
  <c r="R85" i="14"/>
  <c r="P85" i="14"/>
  <c r="O85" i="14"/>
  <c r="L85" i="14"/>
  <c r="L84" i="14" s="1"/>
  <c r="K85" i="14"/>
  <c r="G85" i="14"/>
  <c r="V83" i="14"/>
  <c r="T83" i="14"/>
  <c r="R83" i="14"/>
  <c r="P83" i="14"/>
  <c r="O83" i="14"/>
  <c r="L83" i="14"/>
  <c r="K83" i="14"/>
  <c r="G83" i="14"/>
  <c r="V82" i="14"/>
  <c r="T82" i="14"/>
  <c r="R82" i="14"/>
  <c r="P82" i="14"/>
  <c r="O82" i="14"/>
  <c r="L82" i="14"/>
  <c r="K82" i="14"/>
  <c r="G82" i="14"/>
  <c r="V81" i="14"/>
  <c r="T81" i="14"/>
  <c r="R81" i="14"/>
  <c r="P81" i="14"/>
  <c r="O81" i="14"/>
  <c r="L81" i="14"/>
  <c r="K81" i="14"/>
  <c r="G81" i="14"/>
  <c r="V80" i="14"/>
  <c r="T80" i="14"/>
  <c r="R80" i="14"/>
  <c r="P80" i="14"/>
  <c r="O80" i="14"/>
  <c r="L80" i="14"/>
  <c r="K80" i="14"/>
  <c r="G80" i="14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K76" i="14" s="1"/>
  <c r="G77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0" i="14"/>
  <c r="T60" i="14"/>
  <c r="R60" i="14"/>
  <c r="P60" i="14"/>
  <c r="O60" i="14"/>
  <c r="L60" i="14"/>
  <c r="K60" i="14"/>
  <c r="G60" i="14"/>
  <c r="V59" i="14"/>
  <c r="T59" i="14"/>
  <c r="R59" i="14"/>
  <c r="P59" i="14"/>
  <c r="O59" i="14"/>
  <c r="L59" i="14"/>
  <c r="K59" i="14"/>
  <c r="G59" i="14"/>
  <c r="V55" i="14"/>
  <c r="T55" i="14"/>
  <c r="R55" i="14"/>
  <c r="P55" i="14"/>
  <c r="O55" i="14"/>
  <c r="L55" i="14"/>
  <c r="K55" i="14"/>
  <c r="G55" i="14"/>
  <c r="V52" i="14"/>
  <c r="T52" i="14"/>
  <c r="R52" i="14"/>
  <c r="P52" i="14"/>
  <c r="O52" i="14"/>
  <c r="L52" i="14"/>
  <c r="K52" i="14"/>
  <c r="G52" i="14"/>
  <c r="V49" i="14"/>
  <c r="T49" i="14"/>
  <c r="R49" i="14"/>
  <c r="P49" i="14"/>
  <c r="O49" i="14"/>
  <c r="L49" i="14"/>
  <c r="K49" i="14"/>
  <c r="G49" i="14"/>
  <c r="V48" i="14"/>
  <c r="T48" i="14"/>
  <c r="R48" i="14"/>
  <c r="P48" i="14"/>
  <c r="O48" i="14"/>
  <c r="L48" i="14"/>
  <c r="K48" i="14"/>
  <c r="G48" i="14"/>
  <c r="V43" i="14"/>
  <c r="T43" i="14"/>
  <c r="R43" i="14"/>
  <c r="P43" i="14"/>
  <c r="O43" i="14"/>
  <c r="L43" i="14"/>
  <c r="K43" i="14"/>
  <c r="G43" i="14"/>
  <c r="V13" i="14"/>
  <c r="T13" i="14"/>
  <c r="R13" i="14"/>
  <c r="P13" i="14"/>
  <c r="O13" i="14"/>
  <c r="L13" i="14"/>
  <c r="K13" i="14"/>
  <c r="G13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M3" i="4"/>
  <c r="L3" i="4"/>
  <c r="O142" i="14" l="1"/>
  <c r="K84" i="14"/>
  <c r="R58" i="14"/>
  <c r="P58" i="14"/>
  <c r="K58" i="14"/>
  <c r="R84" i="14"/>
  <c r="O58" i="14"/>
  <c r="O84" i="14"/>
  <c r="L58" i="14"/>
  <c r="G58" i="14"/>
  <c r="L93" i="14"/>
  <c r="R142" i="14"/>
  <c r="P76" i="14"/>
  <c r="G93" i="14"/>
  <c r="L5" i="14"/>
  <c r="R5" i="14"/>
  <c r="R76" i="14"/>
  <c r="R93" i="14"/>
  <c r="O76" i="14"/>
  <c r="V58" i="14"/>
  <c r="V76" i="14"/>
  <c r="P5" i="14"/>
  <c r="O5" i="14"/>
  <c r="K5" i="14"/>
  <c r="V5" i="14"/>
  <c r="T84" i="14"/>
  <c r="V142" i="14"/>
  <c r="T142" i="14"/>
  <c r="T93" i="14"/>
  <c r="K93" i="14"/>
  <c r="T5" i="14"/>
  <c r="T58" i="14"/>
  <c r="L76" i="14"/>
  <c r="P84" i="14"/>
  <c r="G76" i="14"/>
  <c r="V84" i="14"/>
  <c r="V93" i="14"/>
  <c r="G5" i="14"/>
  <c r="G142" i="14"/>
  <c r="T76" i="14"/>
  <c r="G84" i="14"/>
  <c r="C30" i="4"/>
  <c r="I23" i="17"/>
  <c r="R23" i="17" s="1"/>
  <c r="I24" i="17"/>
  <c r="R24" i="17" s="1"/>
  <c r="I25" i="17"/>
  <c r="R25" i="17" s="1"/>
  <c r="I28" i="17"/>
  <c r="R28" i="17" s="1"/>
  <c r="I33" i="17"/>
  <c r="R33" i="17" s="1"/>
  <c r="R44" i="17"/>
  <c r="R45" i="17"/>
  <c r="R46" i="17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6" i="17"/>
  <c r="R56" i="17" s="1"/>
  <c r="I57" i="17"/>
  <c r="R57" i="17" s="1"/>
  <c r="I58" i="17"/>
  <c r="R58" i="17" s="1"/>
  <c r="I60" i="17"/>
  <c r="R60" i="17" s="1"/>
  <c r="I61" i="17"/>
  <c r="R61" i="17" s="1"/>
  <c r="I62" i="17"/>
  <c r="R62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121" i="17"/>
  <c r="R121" i="17" s="1"/>
  <c r="I122" i="17"/>
  <c r="R122" i="17" s="1"/>
  <c r="I123" i="17"/>
  <c r="R123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8" i="17"/>
  <c r="R138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R159" i="17"/>
  <c r="R160" i="17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512" i="17"/>
  <c r="R512" i="17" s="1"/>
  <c r="I513" i="17"/>
  <c r="R513" i="17" s="1"/>
  <c r="I514" i="17"/>
  <c r="R514" i="17" s="1"/>
  <c r="I515" i="17"/>
  <c r="R515" i="17" s="1"/>
  <c r="I516" i="17"/>
  <c r="R516" i="17" s="1"/>
  <c r="I517" i="17"/>
  <c r="R517" i="17" s="1"/>
  <c r="I518" i="17"/>
  <c r="R518" i="17" s="1"/>
  <c r="I519" i="17"/>
  <c r="R519" i="17" s="1"/>
  <c r="I520" i="17"/>
  <c r="R520" i="17" s="1"/>
  <c r="I521" i="17"/>
  <c r="R521" i="17" s="1"/>
  <c r="I522" i="17"/>
  <c r="R522" i="17" s="1"/>
  <c r="I523" i="17"/>
  <c r="R523" i="17" s="1"/>
  <c r="I524" i="17"/>
  <c r="R524" i="17" s="1"/>
  <c r="I525" i="17"/>
  <c r="R525" i="17" s="1"/>
  <c r="I526" i="17"/>
  <c r="R526" i="17" s="1"/>
  <c r="I527" i="17"/>
  <c r="R527" i="17" s="1"/>
  <c r="I528" i="17"/>
  <c r="R528" i="17" s="1"/>
  <c r="I529" i="17"/>
  <c r="R529" i="17" s="1"/>
  <c r="I530" i="17"/>
  <c r="R530" i="17" s="1"/>
  <c r="I531" i="17"/>
  <c r="R531" i="17" s="1"/>
  <c r="I532" i="17"/>
  <c r="R532" i="17" s="1"/>
  <c r="I533" i="17"/>
  <c r="R533" i="17" s="1"/>
  <c r="I534" i="17"/>
  <c r="R534" i="17" s="1"/>
  <c r="I535" i="17"/>
  <c r="R535" i="17" s="1"/>
  <c r="I536" i="17"/>
  <c r="R536" i="17" s="1"/>
  <c r="I537" i="17"/>
  <c r="R537" i="17" s="1"/>
  <c r="I538" i="17"/>
  <c r="R538" i="17" s="1"/>
  <c r="I539" i="17"/>
  <c r="R539" i="17" s="1"/>
  <c r="I540" i="17"/>
  <c r="R540" i="17" s="1"/>
  <c r="I541" i="17"/>
  <c r="R541" i="17" s="1"/>
  <c r="I542" i="17"/>
  <c r="R542" i="17" s="1"/>
  <c r="I543" i="17"/>
  <c r="R543" i="17" s="1"/>
  <c r="I544" i="17"/>
  <c r="R544" i="17" s="1"/>
  <c r="I545" i="17"/>
  <c r="R545" i="17" s="1"/>
  <c r="I546" i="17"/>
  <c r="R546" i="17" s="1"/>
  <c r="I547" i="17"/>
  <c r="R547" i="17" s="1"/>
  <c r="I548" i="17"/>
  <c r="R548" i="17" s="1"/>
  <c r="I549" i="17"/>
  <c r="R549" i="17" s="1"/>
  <c r="I550" i="17"/>
  <c r="R550" i="17" s="1"/>
  <c r="I551" i="17"/>
  <c r="R551" i="17" s="1"/>
  <c r="I552" i="17"/>
  <c r="R552" i="17" s="1"/>
  <c r="I553" i="17"/>
  <c r="R553" i="17" s="1"/>
  <c r="I554" i="17"/>
  <c r="R554" i="17" s="1"/>
  <c r="I555" i="17"/>
  <c r="R555" i="17" s="1"/>
  <c r="I556" i="17"/>
  <c r="R556" i="17" s="1"/>
  <c r="I557" i="17"/>
  <c r="R557" i="17" s="1"/>
  <c r="I558" i="17"/>
  <c r="R558" i="17" s="1"/>
  <c r="I559" i="17"/>
  <c r="R559" i="17" s="1"/>
  <c r="I560" i="17"/>
  <c r="R560" i="17" s="1"/>
  <c r="I561" i="17"/>
  <c r="R561" i="17" s="1"/>
  <c r="I562" i="17"/>
  <c r="R562" i="17" s="1"/>
  <c r="I563" i="17"/>
  <c r="R563" i="17" s="1"/>
  <c r="I564" i="17"/>
  <c r="R564" i="17" s="1"/>
  <c r="I565" i="17"/>
  <c r="R565" i="17" s="1"/>
  <c r="I566" i="17"/>
  <c r="R566" i="17" s="1"/>
  <c r="I567" i="17"/>
  <c r="R567" i="17" s="1"/>
  <c r="I568" i="17"/>
  <c r="R568" i="17" s="1"/>
  <c r="I569" i="17"/>
  <c r="R569" i="17" s="1"/>
  <c r="I570" i="17"/>
  <c r="R570" i="17" s="1"/>
  <c r="I571" i="17"/>
  <c r="R571" i="17" s="1"/>
  <c r="I572" i="17"/>
  <c r="R572" i="17" s="1"/>
  <c r="I573" i="17"/>
  <c r="R573" i="17" s="1"/>
  <c r="I574" i="17"/>
  <c r="R574" i="17" s="1"/>
  <c r="I575" i="17"/>
  <c r="R575" i="17" s="1"/>
  <c r="I4" i="17"/>
  <c r="R4" i="17" s="1"/>
  <c r="I5" i="17"/>
  <c r="R5" i="17" s="1"/>
  <c r="I7" i="17"/>
  <c r="R7" i="17" s="1"/>
  <c r="I9" i="17"/>
  <c r="R9" i="17" s="1"/>
  <c r="I11" i="17"/>
  <c r="R11" i="17" s="1"/>
  <c r="I12" i="17"/>
  <c r="R12" i="17" s="1"/>
  <c r="I13" i="17"/>
  <c r="R13" i="17" s="1"/>
  <c r="I14" i="17"/>
  <c r="R14" i="17" s="1"/>
  <c r="I16" i="17"/>
  <c r="R16" i="17" s="1"/>
  <c r="I17" i="17"/>
  <c r="R17" i="17" s="1"/>
  <c r="I22" i="17"/>
  <c r="R22" i="17" s="1"/>
  <c r="I3" i="17"/>
  <c r="R3" i="17" s="1"/>
  <c r="H4" i="17"/>
  <c r="H5" i="17"/>
  <c r="H7" i="17"/>
  <c r="H9" i="17"/>
  <c r="H11" i="17"/>
  <c r="H12" i="17"/>
  <c r="H13" i="17"/>
  <c r="H14" i="17"/>
  <c r="H16" i="17"/>
  <c r="H17" i="17"/>
  <c r="H22" i="17"/>
  <c r="H23" i="17"/>
  <c r="H24" i="17"/>
  <c r="H25" i="17"/>
  <c r="H28" i="17"/>
  <c r="H33" i="17"/>
  <c r="H44" i="17"/>
  <c r="H45" i="17"/>
  <c r="H46" i="17"/>
  <c r="H47" i="17"/>
  <c r="H48" i="17"/>
  <c r="H49" i="17"/>
  <c r="H50" i="17"/>
  <c r="H51" i="17"/>
  <c r="H52" i="17"/>
  <c r="H53" i="17"/>
  <c r="H56" i="17"/>
  <c r="H57" i="17"/>
  <c r="H58" i="17"/>
  <c r="H60" i="17"/>
  <c r="H61" i="17"/>
  <c r="H62" i="17"/>
  <c r="H64" i="17"/>
  <c r="H65" i="17"/>
  <c r="H66" i="17"/>
  <c r="H67" i="17"/>
  <c r="H68" i="17"/>
  <c r="H69" i="17"/>
  <c r="H70" i="17"/>
  <c r="H71" i="17"/>
  <c r="H72" i="17"/>
  <c r="H73" i="17"/>
  <c r="H74" i="17"/>
  <c r="H78" i="17"/>
  <c r="H79" i="17"/>
  <c r="H80" i="17"/>
  <c r="H81" i="17"/>
  <c r="H82" i="17"/>
  <c r="H83" i="17"/>
  <c r="H84" i="17"/>
  <c r="H121" i="17"/>
  <c r="H122" i="17"/>
  <c r="H123" i="17"/>
  <c r="H125" i="17"/>
  <c r="H126" i="17"/>
  <c r="H127" i="17"/>
  <c r="H128" i="17"/>
  <c r="H129" i="17"/>
  <c r="H130" i="17"/>
  <c r="H131" i="17"/>
  <c r="H138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6" i="25" l="1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7" i="17"/>
  <c r="Q9" i="17"/>
  <c r="Q11" i="17"/>
  <c r="Q12" i="17"/>
  <c r="Q13" i="17"/>
  <c r="Q14" i="17"/>
  <c r="Q16" i="17"/>
  <c r="Q17" i="17"/>
  <c r="Q22" i="17"/>
  <c r="Q23" i="17"/>
  <c r="Q24" i="17"/>
  <c r="Q25" i="17"/>
  <c r="Q28" i="17"/>
  <c r="Q33" i="17"/>
  <c r="Q44" i="17"/>
  <c r="Q45" i="17"/>
  <c r="Q46" i="17"/>
  <c r="Q47" i="17"/>
  <c r="Q48" i="17"/>
  <c r="Q49" i="17"/>
  <c r="Q50" i="17"/>
  <c r="Q51" i="17"/>
  <c r="Q52" i="17"/>
  <c r="Q53" i="17"/>
  <c r="Q56" i="17"/>
  <c r="Q57" i="17"/>
  <c r="Q58" i="17"/>
  <c r="Q60" i="17"/>
  <c r="Q61" i="17"/>
  <c r="Q62" i="17"/>
  <c r="Q64" i="17"/>
  <c r="Q65" i="17"/>
  <c r="Q66" i="17"/>
  <c r="Q67" i="17"/>
  <c r="Q68" i="17"/>
  <c r="Q69" i="17"/>
  <c r="Q70" i="17"/>
  <c r="Q71" i="17"/>
  <c r="Q72" i="17"/>
  <c r="Q73" i="17"/>
  <c r="Q74" i="17"/>
  <c r="Q78" i="17"/>
  <c r="Q79" i="17"/>
  <c r="Q80" i="17"/>
  <c r="Q81" i="17"/>
  <c r="Q82" i="17"/>
  <c r="Q83" i="17"/>
  <c r="Q84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536" i="17"/>
  <c r="Q537" i="17"/>
  <c r="Q538" i="17"/>
  <c r="Q539" i="17"/>
  <c r="Q540" i="17"/>
  <c r="Q541" i="17"/>
  <c r="Q542" i="17"/>
  <c r="Q543" i="17"/>
  <c r="Q544" i="17"/>
  <c r="Q545" i="17"/>
  <c r="Q546" i="17"/>
  <c r="Q547" i="17"/>
  <c r="Q548" i="17"/>
  <c r="Q549" i="17"/>
  <c r="Q550" i="17"/>
  <c r="Q551" i="17"/>
  <c r="Q552" i="17"/>
  <c r="Q553" i="17"/>
  <c r="Q554" i="17"/>
  <c r="Q555" i="17"/>
  <c r="Q556" i="17"/>
  <c r="Q557" i="17"/>
  <c r="Q558" i="17"/>
  <c r="Q559" i="17"/>
  <c r="Q560" i="17"/>
  <c r="Q561" i="17"/>
  <c r="Q562" i="17"/>
  <c r="Q563" i="17"/>
  <c r="Q564" i="17"/>
  <c r="Q565" i="17"/>
  <c r="Q566" i="17"/>
  <c r="Q567" i="17"/>
  <c r="Q568" i="17"/>
  <c r="Q569" i="17"/>
  <c r="Q570" i="17"/>
  <c r="Q571" i="17"/>
  <c r="Q572" i="17"/>
  <c r="Q573" i="17"/>
  <c r="Q574" i="17"/>
  <c r="Q575" i="17"/>
  <c r="Q3" i="17"/>
  <c r="Q135" i="14" l="1"/>
  <c r="Q134" i="14"/>
  <c r="Q34" i="31"/>
  <c r="Q24" i="31"/>
  <c r="Q12" i="31"/>
  <c r="Q23" i="31"/>
  <c r="Q13" i="31"/>
  <c r="Q35" i="31"/>
  <c r="Q143" i="14"/>
  <c r="Q87" i="14"/>
  <c r="Q80" i="14"/>
  <c r="Q72" i="14"/>
  <c r="Q52" i="14"/>
  <c r="Q156" i="14"/>
  <c r="Q144" i="14"/>
  <c r="Q139" i="14"/>
  <c r="Q131" i="14"/>
  <c r="Q94" i="14"/>
  <c r="Q88" i="14"/>
  <c r="Q86" i="14"/>
  <c r="Q83" i="14"/>
  <c r="Q81" i="14"/>
  <c r="Q79" i="14"/>
  <c r="Q77" i="14"/>
  <c r="Q71" i="14"/>
  <c r="Q60" i="14"/>
  <c r="Q55" i="14"/>
  <c r="Q49" i="14"/>
  <c r="Q43" i="14"/>
  <c r="Q6" i="14"/>
  <c r="Q136" i="14"/>
  <c r="Q101" i="14"/>
  <c r="Q82" i="14"/>
  <c r="Q70" i="14"/>
  <c r="Q48" i="14"/>
  <c r="Q157" i="14"/>
  <c r="Q155" i="14"/>
  <c r="Q89" i="14"/>
  <c r="Q85" i="14"/>
  <c r="Q78" i="14"/>
  <c r="Q59" i="14"/>
  <c r="Q13" i="1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4" i="25"/>
  <c r="B4" i="25"/>
  <c r="F575" i="17"/>
  <c r="D575" i="17"/>
  <c r="B575" i="17"/>
  <c r="A575" i="17"/>
  <c r="F574" i="17"/>
  <c r="D574" i="17"/>
  <c r="B574" i="17"/>
  <c r="A574" i="17"/>
  <c r="F573" i="17"/>
  <c r="D573" i="17"/>
  <c r="B573" i="17"/>
  <c r="A573" i="17"/>
  <c r="F572" i="17"/>
  <c r="D572" i="17"/>
  <c r="B572" i="17"/>
  <c r="A572" i="17"/>
  <c r="F571" i="17"/>
  <c r="D571" i="17"/>
  <c r="B571" i="17"/>
  <c r="A571" i="17"/>
  <c r="F570" i="17"/>
  <c r="D570" i="17"/>
  <c r="B570" i="17"/>
  <c r="A570" i="17"/>
  <c r="F569" i="17"/>
  <c r="D569" i="17"/>
  <c r="B569" i="17"/>
  <c r="A569" i="17"/>
  <c r="F568" i="17"/>
  <c r="D568" i="17"/>
  <c r="B568" i="17"/>
  <c r="A568" i="17"/>
  <c r="F567" i="17"/>
  <c r="D567" i="17"/>
  <c r="B567" i="17"/>
  <c r="A567" i="17"/>
  <c r="F566" i="17"/>
  <c r="D566" i="17"/>
  <c r="B566" i="17"/>
  <c r="A566" i="17"/>
  <c r="F565" i="17"/>
  <c r="D565" i="17"/>
  <c r="B565" i="17"/>
  <c r="A565" i="17"/>
  <c r="F564" i="17"/>
  <c r="D564" i="17"/>
  <c r="B564" i="17"/>
  <c r="A564" i="17"/>
  <c r="F563" i="17"/>
  <c r="D563" i="17"/>
  <c r="B563" i="17"/>
  <c r="A563" i="17"/>
  <c r="F562" i="17"/>
  <c r="D562" i="17"/>
  <c r="B562" i="17"/>
  <c r="A562" i="17"/>
  <c r="F561" i="17"/>
  <c r="D561" i="17"/>
  <c r="B561" i="17"/>
  <c r="A561" i="17"/>
  <c r="F560" i="17"/>
  <c r="D560" i="17"/>
  <c r="B560" i="17"/>
  <c r="A560" i="17"/>
  <c r="F559" i="17"/>
  <c r="D559" i="17"/>
  <c r="B559" i="17"/>
  <c r="A559" i="17"/>
  <c r="F558" i="17"/>
  <c r="D558" i="17"/>
  <c r="B558" i="17"/>
  <c r="A558" i="17"/>
  <c r="F557" i="17"/>
  <c r="D557" i="17"/>
  <c r="B557" i="17"/>
  <c r="A557" i="17"/>
  <c r="F556" i="17"/>
  <c r="D556" i="17"/>
  <c r="B556" i="17"/>
  <c r="A556" i="17"/>
  <c r="F555" i="17"/>
  <c r="D555" i="17"/>
  <c r="B555" i="17"/>
  <c r="A555" i="17"/>
  <c r="F554" i="17"/>
  <c r="D554" i="17"/>
  <c r="B554" i="17"/>
  <c r="A554" i="17"/>
  <c r="F553" i="17"/>
  <c r="D553" i="17"/>
  <c r="B553" i="17"/>
  <c r="A553" i="17"/>
  <c r="F552" i="17"/>
  <c r="D552" i="17"/>
  <c r="B552" i="17"/>
  <c r="A552" i="17"/>
  <c r="F551" i="17"/>
  <c r="D551" i="17"/>
  <c r="B551" i="17"/>
  <c r="A551" i="17"/>
  <c r="F550" i="17"/>
  <c r="D550" i="17"/>
  <c r="B550" i="17"/>
  <c r="A550" i="17"/>
  <c r="F549" i="17"/>
  <c r="D549" i="17"/>
  <c r="B549" i="17"/>
  <c r="A549" i="17"/>
  <c r="F548" i="17"/>
  <c r="D548" i="17"/>
  <c r="B548" i="17"/>
  <c r="A548" i="17"/>
  <c r="F547" i="17"/>
  <c r="D547" i="17"/>
  <c r="B547" i="17"/>
  <c r="A547" i="17"/>
  <c r="F546" i="17"/>
  <c r="D546" i="17"/>
  <c r="B546" i="17"/>
  <c r="A546" i="17"/>
  <c r="F545" i="17"/>
  <c r="D545" i="17"/>
  <c r="B545" i="17"/>
  <c r="A545" i="17"/>
  <c r="F544" i="17"/>
  <c r="D544" i="17"/>
  <c r="B544" i="17"/>
  <c r="A544" i="17"/>
  <c r="F543" i="17"/>
  <c r="D543" i="17"/>
  <c r="B543" i="17"/>
  <c r="A543" i="17"/>
  <c r="F542" i="17"/>
  <c r="D542" i="17"/>
  <c r="B542" i="17"/>
  <c r="A542" i="17"/>
  <c r="F541" i="17"/>
  <c r="D541" i="17"/>
  <c r="B541" i="17"/>
  <c r="A541" i="17"/>
  <c r="F540" i="17"/>
  <c r="D540" i="17"/>
  <c r="B540" i="17"/>
  <c r="A540" i="17"/>
  <c r="F539" i="17"/>
  <c r="D539" i="17"/>
  <c r="B539" i="17"/>
  <c r="A539" i="17"/>
  <c r="F538" i="17"/>
  <c r="D538" i="17"/>
  <c r="B538" i="17"/>
  <c r="A538" i="17"/>
  <c r="F537" i="17"/>
  <c r="D537" i="17"/>
  <c r="B537" i="17"/>
  <c r="A537" i="17"/>
  <c r="F536" i="17"/>
  <c r="D536" i="17"/>
  <c r="B536" i="17"/>
  <c r="A536" i="17"/>
  <c r="F535" i="17"/>
  <c r="D535" i="17"/>
  <c r="B535" i="17"/>
  <c r="A535" i="17"/>
  <c r="F534" i="17"/>
  <c r="D534" i="17"/>
  <c r="B534" i="17"/>
  <c r="A534" i="17"/>
  <c r="F533" i="17"/>
  <c r="D533" i="17"/>
  <c r="B533" i="17"/>
  <c r="A533" i="17"/>
  <c r="F532" i="17"/>
  <c r="D532" i="17"/>
  <c r="B532" i="17"/>
  <c r="A532" i="17"/>
  <c r="F531" i="17"/>
  <c r="D531" i="17"/>
  <c r="B531" i="17"/>
  <c r="A531" i="17"/>
  <c r="F530" i="17"/>
  <c r="D530" i="17"/>
  <c r="B530" i="17"/>
  <c r="A530" i="17"/>
  <c r="F529" i="17"/>
  <c r="D529" i="17"/>
  <c r="B529" i="17"/>
  <c r="A529" i="17"/>
  <c r="F528" i="17"/>
  <c r="D528" i="17"/>
  <c r="B528" i="17"/>
  <c r="A528" i="17"/>
  <c r="F527" i="17"/>
  <c r="D527" i="17"/>
  <c r="B527" i="17"/>
  <c r="A527" i="17"/>
  <c r="F526" i="17"/>
  <c r="D526" i="17"/>
  <c r="B526" i="17"/>
  <c r="A526" i="17"/>
  <c r="F525" i="17"/>
  <c r="D525" i="17"/>
  <c r="B525" i="17"/>
  <c r="A525" i="17"/>
  <c r="F524" i="17"/>
  <c r="D524" i="17"/>
  <c r="B524" i="17"/>
  <c r="A524" i="17"/>
  <c r="F523" i="17"/>
  <c r="D523" i="17"/>
  <c r="B523" i="17"/>
  <c r="A523" i="17"/>
  <c r="F522" i="17"/>
  <c r="D522" i="17"/>
  <c r="B522" i="17"/>
  <c r="A522" i="17"/>
  <c r="F521" i="17"/>
  <c r="D521" i="17"/>
  <c r="B521" i="17"/>
  <c r="A521" i="17"/>
  <c r="F520" i="17"/>
  <c r="D520" i="17"/>
  <c r="B520" i="17"/>
  <c r="A520" i="17"/>
  <c r="F519" i="17"/>
  <c r="D519" i="17"/>
  <c r="B519" i="17"/>
  <c r="A519" i="17"/>
  <c r="F518" i="17"/>
  <c r="D518" i="17"/>
  <c r="B518" i="17"/>
  <c r="A518" i="17"/>
  <c r="F517" i="17"/>
  <c r="D517" i="17"/>
  <c r="B517" i="17"/>
  <c r="A517" i="17"/>
  <c r="F516" i="17"/>
  <c r="D516" i="17"/>
  <c r="B516" i="17"/>
  <c r="A516" i="17"/>
  <c r="F515" i="17"/>
  <c r="D515" i="17"/>
  <c r="B515" i="17"/>
  <c r="A515" i="17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8" i="17"/>
  <c r="D138" i="17"/>
  <c r="B138" i="17"/>
  <c r="A138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3" i="17"/>
  <c r="A123" i="17"/>
  <c r="B121" i="17"/>
  <c r="A121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33" i="17"/>
  <c r="D33" i="17"/>
  <c r="B33" i="17"/>
  <c r="A33" i="17"/>
  <c r="F28" i="17"/>
  <c r="D28" i="17"/>
  <c r="B28" i="17"/>
  <c r="A28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17" i="17"/>
  <c r="D17" i="17"/>
  <c r="B17" i="17"/>
  <c r="A17" i="17"/>
  <c r="F16" i="17"/>
  <c r="D16" i="17"/>
  <c r="B16" i="17"/>
  <c r="A16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9" i="17"/>
  <c r="D9" i="17"/>
  <c r="B9" i="17"/>
  <c r="A9" i="17"/>
  <c r="F7" i="17"/>
  <c r="D7" i="17"/>
  <c r="B7" i="17"/>
  <c r="A7" i="17"/>
  <c r="F5" i="17"/>
  <c r="D5" i="17"/>
  <c r="B5" i="17"/>
  <c r="A5" i="17"/>
  <c r="F4" i="17"/>
  <c r="D4" i="17"/>
  <c r="B4" i="17"/>
  <c r="A4" i="17"/>
  <c r="B3" i="17"/>
  <c r="A3" i="17"/>
  <c r="D3" i="25"/>
  <c r="Q76" i="14" l="1"/>
  <c r="Q142" i="14"/>
  <c r="Q84" i="14"/>
  <c r="Q5" i="14"/>
  <c r="Q93" i="14"/>
  <c r="Q58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32" i="13"/>
  <c r="E32" i="13"/>
  <c r="G31" i="13"/>
  <c r="I29" i="13"/>
  <c r="K28" i="13"/>
  <c r="M27" i="13"/>
  <c r="O26" i="13"/>
  <c r="Q25" i="13"/>
  <c r="S24" i="13"/>
  <c r="U23" i="13"/>
  <c r="E23" i="13"/>
  <c r="G18" i="13"/>
  <c r="I17" i="13"/>
  <c r="K15" i="13"/>
  <c r="M14" i="13"/>
  <c r="O13" i="13"/>
  <c r="Q12" i="13"/>
  <c r="S11" i="13"/>
  <c r="U10" i="13"/>
  <c r="E10" i="13"/>
  <c r="G9" i="13"/>
  <c r="H17" i="13"/>
  <c r="H32" i="13"/>
  <c r="J31" i="13"/>
  <c r="L29" i="13"/>
  <c r="N28" i="13"/>
  <c r="P27" i="13"/>
  <c r="R26" i="13"/>
  <c r="T25" i="13"/>
  <c r="D25" i="13"/>
  <c r="F24" i="13"/>
  <c r="H23" i="13"/>
  <c r="T17" i="13"/>
  <c r="O32" i="13"/>
  <c r="Q31" i="13"/>
  <c r="S29" i="13"/>
  <c r="U28" i="13"/>
  <c r="E28" i="13"/>
  <c r="G27" i="13"/>
  <c r="I26" i="13"/>
  <c r="K25" i="13"/>
  <c r="M24" i="13"/>
  <c r="O23" i="13"/>
  <c r="Q18" i="13"/>
  <c r="S17" i="13"/>
  <c r="U15" i="13"/>
  <c r="T31" i="13"/>
  <c r="J27" i="13"/>
  <c r="R23" i="13"/>
  <c r="N15" i="13"/>
  <c r="J14" i="13"/>
  <c r="F13" i="13"/>
  <c r="U11" i="13"/>
  <c r="Q32" i="13"/>
  <c r="S31" i="13"/>
  <c r="U29" i="13"/>
  <c r="E29" i="13"/>
  <c r="G28" i="13"/>
  <c r="I27" i="13"/>
  <c r="K26" i="13"/>
  <c r="M25" i="13"/>
  <c r="O24" i="13"/>
  <c r="Q23" i="13"/>
  <c r="S18" i="13"/>
  <c r="U17" i="13"/>
  <c r="E17" i="13"/>
  <c r="G15" i="13"/>
  <c r="I14" i="13"/>
  <c r="K13" i="13"/>
  <c r="M12" i="13"/>
  <c r="O11" i="13"/>
  <c r="Q10" i="13"/>
  <c r="S9" i="13"/>
  <c r="D23" i="13"/>
  <c r="T32" i="13"/>
  <c r="D32" i="13"/>
  <c r="F31" i="13"/>
  <c r="H29" i="13"/>
  <c r="J28" i="13"/>
  <c r="L27" i="13"/>
  <c r="M32" i="13"/>
  <c r="O31" i="13"/>
  <c r="Q29" i="13"/>
  <c r="S28" i="13"/>
  <c r="U27" i="13"/>
  <c r="E27" i="13"/>
  <c r="G26" i="13"/>
  <c r="I25" i="13"/>
  <c r="K24" i="13"/>
  <c r="M23" i="13"/>
  <c r="O18" i="13"/>
  <c r="Q17" i="13"/>
  <c r="S15" i="13"/>
  <c r="U14" i="13"/>
  <c r="E14" i="13"/>
  <c r="G13" i="13"/>
  <c r="I12" i="13"/>
  <c r="K11" i="13"/>
  <c r="M10" i="13"/>
  <c r="O9" i="13"/>
  <c r="F18" i="13"/>
  <c r="P32" i="13"/>
  <c r="R31" i="13"/>
  <c r="T29" i="13"/>
  <c r="D29" i="13"/>
  <c r="F28" i="13"/>
  <c r="H27" i="13"/>
  <c r="J26" i="13"/>
  <c r="L25" i="13"/>
  <c r="N24" i="13"/>
  <c r="P23" i="13"/>
  <c r="N18" i="13"/>
  <c r="D17" i="13"/>
  <c r="G32" i="13"/>
  <c r="I31" i="13"/>
  <c r="K29" i="13"/>
  <c r="M28" i="13"/>
  <c r="O27" i="13"/>
  <c r="Q26" i="13"/>
  <c r="S25" i="13"/>
  <c r="U24" i="13"/>
  <c r="E24" i="13"/>
  <c r="G23" i="13"/>
  <c r="I18" i="13"/>
  <c r="K17" i="13"/>
  <c r="M15" i="13"/>
  <c r="F29" i="13"/>
  <c r="N25" i="13"/>
  <c r="D18" i="13"/>
  <c r="T14" i="13"/>
  <c r="Q13" i="13"/>
  <c r="N12" i="13"/>
  <c r="J11" i="13"/>
  <c r="G10" i="13"/>
  <c r="D9" i="13"/>
  <c r="P26" i="13"/>
  <c r="F14" i="13"/>
  <c r="P31" i="13"/>
  <c r="F27" i="13"/>
  <c r="N23" i="13"/>
  <c r="L15" i="13"/>
  <c r="H14" i="13"/>
  <c r="E13" i="13"/>
  <c r="T11" i="13"/>
  <c r="P10" i="13"/>
  <c r="M9" i="13"/>
  <c r="N29" i="13"/>
  <c r="D26" i="13"/>
  <c r="L18" i="13"/>
  <c r="E15" i="13"/>
  <c r="T13" i="13"/>
  <c r="P12" i="13"/>
  <c r="H11" i="13"/>
  <c r="L9" i="13"/>
  <c r="J29" i="13"/>
  <c r="T24" i="13"/>
  <c r="I15" i="13"/>
  <c r="M13" i="13"/>
  <c r="Q11" i="13"/>
  <c r="L11" i="13"/>
  <c r="U9" i="13"/>
  <c r="M46" i="13"/>
  <c r="O45" i="13"/>
  <c r="Q43" i="13"/>
  <c r="S42" i="13"/>
  <c r="I32" i="13"/>
  <c r="Q27" i="13"/>
  <c r="G24" i="13"/>
  <c r="O15" i="13"/>
  <c r="E12" i="13"/>
  <c r="P17" i="13"/>
  <c r="R28" i="13"/>
  <c r="F26" i="13"/>
  <c r="J24" i="13"/>
  <c r="J18" i="13"/>
  <c r="U31" i="13"/>
  <c r="G29" i="13"/>
  <c r="K27" i="13"/>
  <c r="O25" i="13"/>
  <c r="S23" i="13"/>
  <c r="E18" i="13"/>
  <c r="R32" i="13"/>
  <c r="P24" i="13"/>
  <c r="O14" i="13"/>
  <c r="H12" i="13"/>
  <c r="L10" i="13"/>
  <c r="R11" i="13"/>
  <c r="J17" i="13"/>
  <c r="N32" i="13"/>
  <c r="H26" i="13"/>
  <c r="R17" i="13"/>
  <c r="N14" i="13"/>
  <c r="R12" i="13"/>
  <c r="I11" i="13"/>
  <c r="R9" i="13"/>
  <c r="P28" i="13"/>
  <c r="H24" i="13"/>
  <c r="J15" i="13"/>
  <c r="N13" i="13"/>
  <c r="F12" i="13"/>
  <c r="Q9" i="13"/>
  <c r="L28" i="13"/>
  <c r="H18" i="13"/>
  <c r="R13" i="13"/>
  <c r="N10" i="13"/>
  <c r="E9" i="13"/>
  <c r="Q46" i="13"/>
  <c r="K45" i="13"/>
  <c r="I43" i="13"/>
  <c r="G42" i="13"/>
  <c r="I41" i="13"/>
  <c r="K40" i="13"/>
  <c r="M39" i="13"/>
  <c r="O38" i="13"/>
  <c r="Q37" i="13"/>
  <c r="O46" i="13"/>
  <c r="I45" i="13"/>
  <c r="E42" i="13"/>
  <c r="E40" i="13"/>
  <c r="Q38" i="13"/>
  <c r="G37" i="13"/>
  <c r="L45" i="13"/>
  <c r="P42" i="13"/>
  <c r="J41" i="13"/>
  <c r="N39" i="13"/>
  <c r="R37" i="13"/>
  <c r="L46" i="13"/>
  <c r="N45" i="13"/>
  <c r="P43" i="13"/>
  <c r="R42" i="13"/>
  <c r="T41" i="13"/>
  <c r="D41" i="13"/>
  <c r="F40" i="13"/>
  <c r="H39" i="13"/>
  <c r="J38" i="13"/>
  <c r="L37" i="13"/>
  <c r="U45" i="13"/>
  <c r="K43" i="13"/>
  <c r="O41" i="13"/>
  <c r="I40" i="13"/>
  <c r="E38" i="13"/>
  <c r="T45" i="13"/>
  <c r="T42" i="13"/>
  <c r="T40" i="13"/>
  <c r="P38" i="13"/>
  <c r="J37" i="13"/>
  <c r="D14" i="13"/>
  <c r="T9" i="13"/>
  <c r="D15" i="13"/>
  <c r="J25" i="13"/>
  <c r="K31" i="13"/>
  <c r="S26" i="13"/>
  <c r="I23" i="13"/>
  <c r="Q14" i="13"/>
  <c r="G11" i="13"/>
  <c r="L32" i="13"/>
  <c r="T27" i="13"/>
  <c r="P25" i="13"/>
  <c r="T23" i="13"/>
  <c r="L17" i="13"/>
  <c r="M31" i="13"/>
  <c r="Q28" i="13"/>
  <c r="U26" i="13"/>
  <c r="G25" i="13"/>
  <c r="K23" i="13"/>
  <c r="O17" i="13"/>
  <c r="D31" i="13"/>
  <c r="T18" i="13"/>
  <c r="P11" i="13"/>
  <c r="T10" i="13"/>
  <c r="R29" i="13"/>
  <c r="T15" i="13"/>
  <c r="M29" i="13"/>
  <c r="U25" i="13"/>
  <c r="K18" i="13"/>
  <c r="S13" i="13"/>
  <c r="I10" i="13"/>
  <c r="N31" i="13"/>
  <c r="D27" i="13"/>
  <c r="H25" i="13"/>
  <c r="L23" i="13"/>
  <c r="S32" i="13"/>
  <c r="E31" i="13"/>
  <c r="I28" i="13"/>
  <c r="M26" i="13"/>
  <c r="Q24" i="13"/>
  <c r="U18" i="13"/>
  <c r="G17" i="13"/>
  <c r="H28" i="13"/>
  <c r="F17" i="13"/>
  <c r="L13" i="13"/>
  <c r="E11" i="13"/>
  <c r="N9" i="13"/>
  <c r="J10" i="13"/>
  <c r="H13" i="13"/>
  <c r="T28" i="13"/>
  <c r="L24" i="13"/>
  <c r="F15" i="13"/>
  <c r="P13" i="13"/>
  <c r="G12" i="13"/>
  <c r="K10" i="13"/>
  <c r="J32" i="13"/>
  <c r="T26" i="13"/>
  <c r="N17" i="13"/>
  <c r="L14" i="13"/>
  <c r="D13" i="13"/>
  <c r="O10" i="13"/>
  <c r="F32" i="13"/>
  <c r="R25" i="13"/>
  <c r="P14" i="13"/>
  <c r="O12" i="13"/>
  <c r="P9" i="13"/>
  <c r="S10" i="13"/>
  <c r="E46" i="13"/>
  <c r="U43" i="13"/>
  <c r="O42" i="13"/>
  <c r="Q41" i="13"/>
  <c r="S40" i="13"/>
  <c r="U39" i="13"/>
  <c r="E39" i="13"/>
  <c r="G38" i="13"/>
  <c r="I37" i="13"/>
  <c r="G46" i="13"/>
  <c r="U42" i="13"/>
  <c r="U40" i="13"/>
  <c r="K39" i="13"/>
  <c r="O37" i="13"/>
  <c r="J46" i="13"/>
  <c r="N43" i="13"/>
  <c r="D42" i="13"/>
  <c r="L40" i="13"/>
  <c r="T38" i="13"/>
  <c r="T46" i="13"/>
  <c r="D46" i="13"/>
  <c r="F45" i="13"/>
  <c r="H43" i="13"/>
  <c r="J42" i="13"/>
  <c r="L41" i="13"/>
  <c r="N40" i="13"/>
  <c r="P39" i="13"/>
  <c r="R38" i="13"/>
  <c r="T37" i="13"/>
  <c r="D37" i="13"/>
  <c r="E45" i="13"/>
  <c r="Q42" i="13"/>
  <c r="G41" i="13"/>
  <c r="U38" i="13"/>
  <c r="R46" i="13"/>
  <c r="R43" i="13"/>
  <c r="N41" i="13"/>
  <c r="R39" i="13"/>
  <c r="D38" i="13"/>
  <c r="O28" i="13"/>
  <c r="E25" i="13"/>
  <c r="M17" i="13"/>
  <c r="U12" i="13"/>
  <c r="K9" i="13"/>
  <c r="P29" i="13"/>
  <c r="N26" i="13"/>
  <c r="R24" i="13"/>
  <c r="R18" i="13"/>
  <c r="K32" i="13"/>
  <c r="O29" i="13"/>
  <c r="R27" i="13"/>
  <c r="N27" i="13"/>
  <c r="F11" i="13"/>
  <c r="U41" i="13"/>
  <c r="K46" i="13"/>
  <c r="I38" i="13"/>
  <c r="P40" i="13"/>
  <c r="J45" i="13"/>
  <c r="R40" i="13"/>
  <c r="H37" i="13"/>
  <c r="S39" i="13"/>
  <c r="H40" i="13"/>
  <c r="M40" i="13"/>
  <c r="F43" i="13"/>
  <c r="T43" i="13"/>
  <c r="N38" i="13"/>
  <c r="M38" i="13"/>
  <c r="S27" i="13"/>
  <c r="Q15" i="13"/>
  <c r="R10" i="13"/>
  <c r="D28" i="13"/>
  <c r="J13" i="13"/>
  <c r="F10" i="13"/>
  <c r="F25" i="13"/>
  <c r="G14" i="13"/>
  <c r="D10" i="13"/>
  <c r="D24" i="13"/>
  <c r="D12" i="13"/>
  <c r="U46" i="13"/>
  <c r="M43" i="13"/>
  <c r="M41" i="13"/>
  <c r="Q39" i="13"/>
  <c r="Q45" i="13"/>
  <c r="D40" i="13"/>
  <c r="F42" i="13"/>
  <c r="S46" i="13"/>
  <c r="J43" i="13"/>
  <c r="E26" i="13"/>
  <c r="L26" i="13"/>
  <c r="I9" i="13"/>
  <c r="P18" i="13"/>
  <c r="L12" i="13"/>
  <c r="H9" i="13"/>
  <c r="J23" i="13"/>
  <c r="I13" i="13"/>
  <c r="F9" i="13"/>
  <c r="P15" i="13"/>
  <c r="J9" i="13"/>
  <c r="I46" i="13"/>
  <c r="E43" i="13"/>
  <c r="E41" i="13"/>
  <c r="I39" i="13"/>
  <c r="M37" i="13"/>
  <c r="S43" i="13"/>
  <c r="O39" i="13"/>
  <c r="N46" i="13"/>
  <c r="L42" i="13"/>
  <c r="F39" i="13"/>
  <c r="H46" i="13"/>
  <c r="L43" i="13"/>
  <c r="P41" i="13"/>
  <c r="T39" i="13"/>
  <c r="F38" i="13"/>
  <c r="M45" i="13"/>
  <c r="K41" i="13"/>
  <c r="S37" i="13"/>
  <c r="H42" i="13"/>
  <c r="L38" i="13"/>
  <c r="I24" i="13"/>
  <c r="H15" i="13"/>
  <c r="F23" i="13"/>
  <c r="S14" i="13"/>
  <c r="N11" i="13"/>
  <c r="L31" i="13"/>
  <c r="R15" i="13"/>
  <c r="K12" i="13"/>
  <c r="H31" i="13"/>
  <c r="K14" i="13"/>
  <c r="H10" i="13"/>
  <c r="S45" i="13"/>
  <c r="K42" i="13"/>
  <c r="O40" i="13"/>
  <c r="S38" i="13"/>
  <c r="E37" i="13"/>
  <c r="M42" i="13"/>
  <c r="G39" i="13"/>
  <c r="P45" i="13"/>
  <c r="R41" i="13"/>
  <c r="H38" i="13"/>
  <c r="R45" i="13"/>
  <c r="D43" i="13"/>
  <c r="H41" i="13"/>
  <c r="L39" i="13"/>
  <c r="P37" i="13"/>
  <c r="O43" i="13"/>
  <c r="Q40" i="13"/>
  <c r="F46" i="13"/>
  <c r="F41" i="13"/>
  <c r="N37" i="13"/>
  <c r="M18" i="13"/>
  <c r="S12" i="13"/>
  <c r="J12" i="13"/>
  <c r="U13" i="13"/>
  <c r="D11" i="13"/>
  <c r="R14" i="13"/>
  <c r="M11" i="13"/>
  <c r="T12" i="13"/>
  <c r="G45" i="13"/>
  <c r="G40" i="13"/>
  <c r="K38" i="13"/>
  <c r="S41" i="13"/>
  <c r="D45" i="13"/>
  <c r="F37" i="13"/>
  <c r="N42" i="13"/>
  <c r="D39" i="13"/>
  <c r="G43" i="13"/>
  <c r="H45" i="13"/>
  <c r="U37" i="13"/>
  <c r="K37" i="13"/>
  <c r="P46" i="13"/>
  <c r="J40" i="13"/>
  <c r="I42" i="13"/>
  <c r="J39" i="13"/>
  <c r="U44" i="13" l="1"/>
  <c r="F30" i="13"/>
  <c r="K30" i="13"/>
  <c r="P44" i="13"/>
  <c r="S44" i="13"/>
  <c r="L44" i="13"/>
  <c r="S30" i="13"/>
  <c r="N30" i="13"/>
  <c r="H30" i="13"/>
  <c r="E44" i="13"/>
  <c r="J30" i="13"/>
  <c r="D44" i="13"/>
  <c r="O44" i="13"/>
  <c r="T30" i="13"/>
  <c r="Q44" i="13"/>
  <c r="G30" i="13"/>
  <c r="P30" i="13"/>
  <c r="Q30" i="13"/>
  <c r="O30" i="13"/>
  <c r="E30" i="13"/>
  <c r="F44" i="13"/>
  <c r="M44" i="13"/>
  <c r="K44" i="13"/>
  <c r="N44" i="13"/>
  <c r="T44" i="13"/>
  <c r="I44" i="13"/>
  <c r="J44" i="13"/>
  <c r="R44" i="13"/>
  <c r="M30" i="13"/>
  <c r="D30" i="13"/>
  <c r="U30" i="13"/>
  <c r="H44" i="13"/>
  <c r="L30" i="13"/>
  <c r="I30" i="13"/>
  <c r="G44" i="13"/>
  <c r="R30" i="13"/>
  <c r="V17" i="31"/>
  <c r="V28" i="31"/>
  <c r="V6" i="31"/>
  <c r="B3" i="25"/>
  <c r="F3" i="17"/>
  <c r="V92" i="14" l="1"/>
  <c r="O92" i="14" l="1"/>
  <c r="E21" i="32" s="1"/>
  <c r="E29" i="32"/>
  <c r="E28" i="32" s="1"/>
  <c r="E31" i="32"/>
  <c r="E30" i="32" s="1"/>
  <c r="P92" i="14"/>
  <c r="T92" i="14"/>
  <c r="G92" i="14"/>
  <c r="L92" i="14"/>
  <c r="E27" i="32" l="1"/>
  <c r="P75" i="14"/>
  <c r="E22" i="32"/>
  <c r="E12" i="32"/>
  <c r="E18" i="32"/>
  <c r="O75" i="14"/>
  <c r="D21" i="32" l="1"/>
  <c r="D22" i="32"/>
  <c r="P16" i="13" l="1"/>
  <c r="G16" i="13"/>
  <c r="G47" i="13"/>
  <c r="K16" i="13"/>
  <c r="R16" i="13"/>
  <c r="O16" i="13"/>
  <c r="G19" i="13"/>
  <c r="K19" i="13"/>
  <c r="K47" i="13"/>
  <c r="O33" i="13"/>
  <c r="P19" i="13"/>
  <c r="P47" i="13"/>
  <c r="G33" i="13"/>
  <c r="K33" i="13"/>
  <c r="K22" i="13" s="1"/>
  <c r="O47" i="13"/>
  <c r="P33" i="13"/>
  <c r="O19" i="13"/>
  <c r="R33" i="13"/>
  <c r="R47" i="13"/>
  <c r="R19" i="13"/>
  <c r="K8" i="13" l="1"/>
  <c r="R22" i="13"/>
  <c r="O22" i="13"/>
  <c r="O36" i="13"/>
  <c r="K36" i="13"/>
  <c r="G22" i="13"/>
  <c r="R36" i="13"/>
  <c r="P8" i="13"/>
  <c r="G8" i="13"/>
  <c r="G36" i="13"/>
  <c r="P22" i="13"/>
  <c r="P36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S4" i="25"/>
  <c r="R4" i="25"/>
  <c r="S3" i="25"/>
  <c r="R3" i="25"/>
  <c r="N134" i="14" l="1"/>
  <c r="N135" i="14"/>
  <c r="E13" i="31"/>
  <c r="E23" i="31"/>
  <c r="E12" i="31"/>
  <c r="E34" i="31"/>
  <c r="E24" i="31"/>
  <c r="E35" i="31"/>
  <c r="E157" i="14"/>
  <c r="E143" i="14"/>
  <c r="E89" i="14"/>
  <c r="E85" i="14"/>
  <c r="E80" i="14"/>
  <c r="E72" i="14"/>
  <c r="E59" i="14"/>
  <c r="E48" i="14"/>
  <c r="E131" i="14"/>
  <c r="E83" i="14"/>
  <c r="E79" i="14"/>
  <c r="E43" i="14"/>
  <c r="E144" i="14"/>
  <c r="E94" i="14"/>
  <c r="E86" i="14"/>
  <c r="E81" i="14"/>
  <c r="E77" i="14"/>
  <c r="E60" i="14"/>
  <c r="E49" i="14"/>
  <c r="E6" i="14"/>
  <c r="E139" i="14"/>
  <c r="E55" i="14"/>
  <c r="E155" i="14"/>
  <c r="E136" i="14"/>
  <c r="E101" i="14"/>
  <c r="E87" i="14"/>
  <c r="E82" i="14"/>
  <c r="E78" i="14"/>
  <c r="E70" i="14"/>
  <c r="E52" i="14"/>
  <c r="E13" i="14"/>
  <c r="E156" i="14"/>
  <c r="E88" i="14"/>
  <c r="E71" i="14"/>
  <c r="M13" i="31"/>
  <c r="M23" i="31"/>
  <c r="M12" i="31"/>
  <c r="M24" i="31"/>
  <c r="M34" i="31"/>
  <c r="M35" i="31"/>
  <c r="M157" i="14"/>
  <c r="M143" i="14"/>
  <c r="M89" i="14"/>
  <c r="M85" i="14"/>
  <c r="M80" i="14"/>
  <c r="M72" i="14"/>
  <c r="M59" i="14"/>
  <c r="M48" i="14"/>
  <c r="M6" i="14"/>
  <c r="M13" i="14"/>
  <c r="M139" i="14"/>
  <c r="M71" i="14"/>
  <c r="M144" i="14"/>
  <c r="M94" i="14"/>
  <c r="M86" i="14"/>
  <c r="M81" i="14"/>
  <c r="M77" i="14"/>
  <c r="M60" i="14"/>
  <c r="M49" i="14"/>
  <c r="M156" i="14"/>
  <c r="M131" i="14"/>
  <c r="M88" i="14"/>
  <c r="M43" i="14"/>
  <c r="M155" i="14"/>
  <c r="M136" i="14"/>
  <c r="M101" i="14"/>
  <c r="M87" i="14"/>
  <c r="M82" i="14"/>
  <c r="M78" i="14"/>
  <c r="M70" i="14"/>
  <c r="M52" i="14"/>
  <c r="M83" i="14"/>
  <c r="M79" i="14"/>
  <c r="M55" i="14"/>
  <c r="N34" i="31"/>
  <c r="N13" i="31"/>
  <c r="N35" i="31"/>
  <c r="N12" i="31"/>
  <c r="N24" i="31"/>
  <c r="N23" i="31"/>
  <c r="N144" i="14"/>
  <c r="N94" i="14"/>
  <c r="N86" i="14"/>
  <c r="N81" i="14"/>
  <c r="N77" i="14"/>
  <c r="N60" i="14"/>
  <c r="N49" i="14"/>
  <c r="N6" i="14"/>
  <c r="N157" i="14"/>
  <c r="N143" i="14"/>
  <c r="N59" i="14"/>
  <c r="N155" i="14"/>
  <c r="N136" i="14"/>
  <c r="N101" i="14"/>
  <c r="N87" i="14"/>
  <c r="N82" i="14"/>
  <c r="N78" i="14"/>
  <c r="N70" i="14"/>
  <c r="N52" i="14"/>
  <c r="N13" i="14"/>
  <c r="N43" i="14"/>
  <c r="N89" i="14"/>
  <c r="N85" i="14"/>
  <c r="N72" i="14"/>
  <c r="N156" i="14"/>
  <c r="N139" i="14"/>
  <c r="N131" i="14"/>
  <c r="N88" i="14"/>
  <c r="N83" i="14"/>
  <c r="N79" i="14"/>
  <c r="N71" i="14"/>
  <c r="N55" i="14"/>
  <c r="N80" i="14"/>
  <c r="N48" i="14"/>
  <c r="Y157" i="17"/>
  <c r="Z157" i="17"/>
  <c r="Y156" i="17"/>
  <c r="Z156" i="17"/>
  <c r="M11" i="31" l="1"/>
  <c r="N76" i="14"/>
  <c r="M93" i="14"/>
  <c r="M58" i="14"/>
  <c r="E5" i="14"/>
  <c r="E142" i="14"/>
  <c r="N5" i="14"/>
  <c r="M76" i="14"/>
  <c r="E84" i="14"/>
  <c r="N84" i="14"/>
  <c r="N58" i="14"/>
  <c r="M5" i="14"/>
  <c r="M142" i="14"/>
  <c r="E93" i="14"/>
  <c r="E58" i="14"/>
  <c r="N142" i="14"/>
  <c r="N93" i="14"/>
  <c r="M84" i="14"/>
  <c r="E76" i="14"/>
  <c r="N11" i="31"/>
  <c r="M22" i="31"/>
  <c r="E33" i="31"/>
  <c r="M33" i="31"/>
  <c r="E11" i="31"/>
  <c r="N22" i="31"/>
  <c r="E22" i="31"/>
  <c r="N33" i="31"/>
  <c r="K92" i="14"/>
  <c r="Y13" i="17"/>
  <c r="Z13" i="17"/>
  <c r="E92" i="14" l="1"/>
  <c r="E8" i="32" s="1"/>
  <c r="N92" i="14"/>
  <c r="E20" i="32" s="1"/>
  <c r="M92" i="14"/>
  <c r="E19" i="32" s="1"/>
  <c r="N4" i="14"/>
  <c r="C20" i="32" s="1"/>
  <c r="M4" i="14"/>
  <c r="C19" i="32" s="1"/>
  <c r="E4" i="14"/>
  <c r="C8" i="32" s="1"/>
  <c r="E17" i="32"/>
  <c r="Z155" i="17"/>
  <c r="Y155" i="17"/>
  <c r="C19" i="31" l="1"/>
  <c r="C32" i="31"/>
  <c r="C31" i="31"/>
  <c r="C30" i="31"/>
  <c r="C21" i="31"/>
  <c r="C20" i="31"/>
  <c r="C10" i="31"/>
  <c r="C9" i="31"/>
  <c r="C8" i="31"/>
  <c r="O3" i="17"/>
  <c r="Q19" i="13" l="1"/>
  <c r="H28" i="31"/>
  <c r="C28" i="31" s="1"/>
  <c r="C29" i="31"/>
  <c r="C18" i="31"/>
  <c r="H17" i="31"/>
  <c r="C17" i="31" s="1"/>
  <c r="H6" i="31"/>
  <c r="C6" i="31" s="1"/>
  <c r="C7" i="31"/>
  <c r="Q16" i="13"/>
  <c r="Q47" i="13"/>
  <c r="Q33" i="13"/>
  <c r="C37" i="13"/>
  <c r="C23" i="13"/>
  <c r="C9" i="13"/>
  <c r="Q8" i="13" l="1"/>
  <c r="C27" i="12"/>
  <c r="D27" i="12"/>
  <c r="D73" i="12" s="1"/>
  <c r="E27" i="12"/>
  <c r="E73" i="12" s="1"/>
  <c r="Q22" i="13"/>
  <c r="Q36" i="13"/>
  <c r="Y193" i="17"/>
  <c r="Z193" i="17"/>
  <c r="Y194" i="17"/>
  <c r="Z194" i="17"/>
  <c r="Y195" i="17"/>
  <c r="Z195" i="17"/>
  <c r="Y196" i="17"/>
  <c r="Z196" i="17"/>
  <c r="Y197" i="17"/>
  <c r="Z197" i="17"/>
  <c r="Y198" i="17"/>
  <c r="Z198" i="17"/>
  <c r="Y199" i="17"/>
  <c r="Z199" i="17"/>
  <c r="Y200" i="17"/>
  <c r="Z200" i="17"/>
  <c r="Y201" i="17"/>
  <c r="Z201" i="17"/>
  <c r="Y202" i="17"/>
  <c r="Z202" i="17"/>
  <c r="Y203" i="17"/>
  <c r="Z203" i="17"/>
  <c r="C73" i="12" l="1"/>
  <c r="D19" i="13"/>
  <c r="G75" i="14"/>
  <c r="U16" i="13"/>
  <c r="M16" i="13"/>
  <c r="H16" i="13"/>
  <c r="T16" i="13"/>
  <c r="L16" i="13"/>
  <c r="F16" i="13"/>
  <c r="C12" i="13"/>
  <c r="C14" i="13"/>
  <c r="C18" i="13"/>
  <c r="D33" i="13"/>
  <c r="S16" i="13"/>
  <c r="J16" i="13"/>
  <c r="E16" i="13"/>
  <c r="N16" i="13"/>
  <c r="I16" i="13"/>
  <c r="D16" i="13"/>
  <c r="C10" i="13"/>
  <c r="C11" i="13"/>
  <c r="C13" i="13"/>
  <c r="C15" i="13"/>
  <c r="C17" i="13"/>
  <c r="C38" i="13"/>
  <c r="C25" i="13"/>
  <c r="C28" i="13"/>
  <c r="C24" i="13"/>
  <c r="C41" i="13"/>
  <c r="C39" i="13"/>
  <c r="C43" i="13"/>
  <c r="C27" i="13"/>
  <c r="C26" i="13"/>
  <c r="C29" i="13"/>
  <c r="C31" i="13"/>
  <c r="C32" i="13"/>
  <c r="C40" i="13"/>
  <c r="C42" i="13"/>
  <c r="C46" i="13"/>
  <c r="C45" i="13"/>
  <c r="Z7" i="17"/>
  <c r="Z9" i="17"/>
  <c r="Z11" i="17"/>
  <c r="Z12" i="17"/>
  <c r="Z14" i="17"/>
  <c r="Z16" i="17"/>
  <c r="Z17" i="17"/>
  <c r="Z22" i="17"/>
  <c r="Z23" i="17"/>
  <c r="Z24" i="17"/>
  <c r="Z25" i="17"/>
  <c r="Z28" i="17"/>
  <c r="Z33" i="17"/>
  <c r="Z44" i="17"/>
  <c r="Z45" i="17"/>
  <c r="Z46" i="17"/>
  <c r="Z47" i="17"/>
  <c r="Z48" i="17"/>
  <c r="Z49" i="17"/>
  <c r="Z50" i="17"/>
  <c r="Z51" i="17"/>
  <c r="Z52" i="17"/>
  <c r="Z53" i="17"/>
  <c r="Z56" i="17"/>
  <c r="Z57" i="17"/>
  <c r="Z58" i="17"/>
  <c r="Z60" i="17"/>
  <c r="Z61" i="17"/>
  <c r="Z62" i="17"/>
  <c r="Z64" i="17"/>
  <c r="Z65" i="17"/>
  <c r="Z66" i="17"/>
  <c r="Z67" i="17"/>
  <c r="Z68" i="17"/>
  <c r="Z69" i="17"/>
  <c r="Z70" i="17"/>
  <c r="Z71" i="17"/>
  <c r="Z72" i="17"/>
  <c r="Z73" i="17"/>
  <c r="Z74" i="17"/>
  <c r="Z78" i="17"/>
  <c r="Z79" i="17"/>
  <c r="Z80" i="17"/>
  <c r="Z81" i="17"/>
  <c r="Z82" i="17"/>
  <c r="Z83" i="17"/>
  <c r="Z84" i="17"/>
  <c r="Z121" i="17"/>
  <c r="Z122" i="17"/>
  <c r="Z123" i="17"/>
  <c r="Z125" i="17"/>
  <c r="Z126" i="17"/>
  <c r="Z127" i="17"/>
  <c r="Z128" i="17"/>
  <c r="Z129" i="17"/>
  <c r="Z130" i="17"/>
  <c r="Z131" i="17"/>
  <c r="Z138" i="17"/>
  <c r="Z140" i="17"/>
  <c r="Z141" i="17"/>
  <c r="Z142" i="17"/>
  <c r="Z143" i="17"/>
  <c r="Z144" i="17"/>
  <c r="Z145" i="17"/>
  <c r="Z146" i="17"/>
  <c r="Z147" i="17"/>
  <c r="Z148" i="17"/>
  <c r="Z149" i="17"/>
  <c r="Z150" i="17"/>
  <c r="Z151" i="17"/>
  <c r="Z152" i="17"/>
  <c r="Z153" i="17"/>
  <c r="Z154" i="17"/>
  <c r="Z158" i="17"/>
  <c r="Z159" i="17"/>
  <c r="Z160" i="17"/>
  <c r="Z161" i="17"/>
  <c r="Z162" i="17"/>
  <c r="Z163" i="17"/>
  <c r="Z164" i="17"/>
  <c r="Z165" i="17"/>
  <c r="Z166" i="17"/>
  <c r="Z167" i="17"/>
  <c r="Z168" i="17"/>
  <c r="Z169" i="17"/>
  <c r="Z170" i="17"/>
  <c r="Z171" i="17"/>
  <c r="Z172" i="17"/>
  <c r="Z173" i="17"/>
  <c r="Z174" i="17"/>
  <c r="Z175" i="17"/>
  <c r="Z176" i="17"/>
  <c r="Z177" i="17"/>
  <c r="Z178" i="17"/>
  <c r="Z179" i="17"/>
  <c r="Z180" i="17"/>
  <c r="Z181" i="17"/>
  <c r="Z182" i="17"/>
  <c r="Z183" i="17"/>
  <c r="Z184" i="17"/>
  <c r="Z185" i="17"/>
  <c r="Z186" i="17"/>
  <c r="Z187" i="17"/>
  <c r="Z188" i="17"/>
  <c r="Z189" i="17"/>
  <c r="Z190" i="17"/>
  <c r="Z191" i="17"/>
  <c r="Z192" i="17"/>
  <c r="Z5" i="17"/>
  <c r="C16" i="13" l="1"/>
  <c r="C17" i="12" s="1"/>
  <c r="C63" i="12" s="1"/>
  <c r="D8" i="13"/>
  <c r="D12" i="32"/>
  <c r="D22" i="13"/>
  <c r="O4" i="17"/>
  <c r="P4" i="17"/>
  <c r="O5" i="17"/>
  <c r="P5" i="17"/>
  <c r="O7" i="17"/>
  <c r="P7" i="17"/>
  <c r="O9" i="17"/>
  <c r="P9" i="17"/>
  <c r="O11" i="17"/>
  <c r="P11" i="17"/>
  <c r="O12" i="17"/>
  <c r="P12" i="17"/>
  <c r="O13" i="17"/>
  <c r="P13" i="17"/>
  <c r="O14" i="17"/>
  <c r="P14" i="17"/>
  <c r="O16" i="17"/>
  <c r="P16" i="17"/>
  <c r="O17" i="17"/>
  <c r="P17" i="17"/>
  <c r="O22" i="17"/>
  <c r="P22" i="17"/>
  <c r="O23" i="17"/>
  <c r="P23" i="17"/>
  <c r="O24" i="17"/>
  <c r="P24" i="17"/>
  <c r="O25" i="17"/>
  <c r="P25" i="17"/>
  <c r="O28" i="17"/>
  <c r="P28" i="17"/>
  <c r="O33" i="17"/>
  <c r="P3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6" i="17"/>
  <c r="P56" i="17"/>
  <c r="O57" i="17"/>
  <c r="P57" i="17"/>
  <c r="O58" i="17"/>
  <c r="P58" i="17"/>
  <c r="O60" i="17"/>
  <c r="P60" i="17"/>
  <c r="O61" i="17"/>
  <c r="P61" i="17"/>
  <c r="O62" i="17"/>
  <c r="P62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O516" i="17"/>
  <c r="P516" i="17"/>
  <c r="O517" i="17"/>
  <c r="P517" i="17"/>
  <c r="O518" i="17"/>
  <c r="P518" i="17"/>
  <c r="O519" i="17"/>
  <c r="P519" i="17"/>
  <c r="O520" i="17"/>
  <c r="P520" i="17"/>
  <c r="O521" i="17"/>
  <c r="P521" i="17"/>
  <c r="O522" i="17"/>
  <c r="P522" i="17"/>
  <c r="O523" i="17"/>
  <c r="P523" i="17"/>
  <c r="O524" i="17"/>
  <c r="P524" i="17"/>
  <c r="O525" i="17"/>
  <c r="P525" i="17"/>
  <c r="O526" i="17"/>
  <c r="P526" i="17"/>
  <c r="O527" i="17"/>
  <c r="P527" i="17"/>
  <c r="O528" i="17"/>
  <c r="P528" i="17"/>
  <c r="O529" i="17"/>
  <c r="P529" i="17"/>
  <c r="O530" i="17"/>
  <c r="P530" i="17"/>
  <c r="O531" i="17"/>
  <c r="P531" i="17"/>
  <c r="O532" i="17"/>
  <c r="P532" i="17"/>
  <c r="O533" i="17"/>
  <c r="P533" i="17"/>
  <c r="O534" i="17"/>
  <c r="P534" i="17"/>
  <c r="O535" i="17"/>
  <c r="P535" i="17"/>
  <c r="O536" i="17"/>
  <c r="P536" i="17"/>
  <c r="O537" i="17"/>
  <c r="P537" i="17"/>
  <c r="O538" i="17"/>
  <c r="P538" i="17"/>
  <c r="O539" i="17"/>
  <c r="P539" i="17"/>
  <c r="O540" i="17"/>
  <c r="P540" i="17"/>
  <c r="O541" i="17"/>
  <c r="P541" i="17"/>
  <c r="O542" i="17"/>
  <c r="P542" i="17"/>
  <c r="O543" i="17"/>
  <c r="P543" i="17"/>
  <c r="O544" i="17"/>
  <c r="P544" i="17"/>
  <c r="O545" i="17"/>
  <c r="P545" i="17"/>
  <c r="O546" i="17"/>
  <c r="P546" i="17"/>
  <c r="O547" i="17"/>
  <c r="P547" i="17"/>
  <c r="O548" i="17"/>
  <c r="P548" i="17"/>
  <c r="O549" i="17"/>
  <c r="P549" i="17"/>
  <c r="O550" i="17"/>
  <c r="P550" i="17"/>
  <c r="O551" i="17"/>
  <c r="P551" i="17"/>
  <c r="O552" i="17"/>
  <c r="P552" i="17"/>
  <c r="O553" i="17"/>
  <c r="P553" i="17"/>
  <c r="O554" i="17"/>
  <c r="P554" i="17"/>
  <c r="O555" i="17"/>
  <c r="P555" i="17"/>
  <c r="O556" i="17"/>
  <c r="P556" i="17"/>
  <c r="O557" i="17"/>
  <c r="P557" i="17"/>
  <c r="O558" i="17"/>
  <c r="P558" i="17"/>
  <c r="O559" i="17"/>
  <c r="P559" i="17"/>
  <c r="O560" i="17"/>
  <c r="P560" i="17"/>
  <c r="O561" i="17"/>
  <c r="P561" i="17"/>
  <c r="O562" i="17"/>
  <c r="P562" i="17"/>
  <c r="O563" i="17"/>
  <c r="P563" i="17"/>
  <c r="O564" i="17"/>
  <c r="P564" i="17"/>
  <c r="O565" i="17"/>
  <c r="P565" i="17"/>
  <c r="O566" i="17"/>
  <c r="P566" i="17"/>
  <c r="O567" i="17"/>
  <c r="P567" i="17"/>
  <c r="O568" i="17"/>
  <c r="P568" i="17"/>
  <c r="O569" i="17"/>
  <c r="P569" i="17"/>
  <c r="O570" i="17"/>
  <c r="P570" i="17"/>
  <c r="O571" i="17"/>
  <c r="P571" i="17"/>
  <c r="O572" i="17"/>
  <c r="P572" i="17"/>
  <c r="O573" i="17"/>
  <c r="P573" i="17"/>
  <c r="O574" i="17"/>
  <c r="P574" i="17"/>
  <c r="O575" i="17"/>
  <c r="P575" i="17"/>
  <c r="Y12" i="17"/>
  <c r="Y16" i="17"/>
  <c r="Y51" i="17"/>
  <c r="Y65" i="17"/>
  <c r="Y146" i="17"/>
  <c r="Y67" i="17"/>
  <c r="Y165" i="17"/>
  <c r="Y60" i="17"/>
  <c r="Y14" i="17"/>
  <c r="Y28" i="17"/>
  <c r="Y52" i="17"/>
  <c r="Y148" i="17"/>
  <c r="Y168" i="17"/>
  <c r="Y17" i="17"/>
  <c r="Y23" i="17"/>
  <c r="Y56" i="17"/>
  <c r="Y57" i="17"/>
  <c r="Y61" i="17"/>
  <c r="Y64" i="17"/>
  <c r="Y72" i="17"/>
  <c r="Y73" i="17"/>
  <c r="Y122" i="17"/>
  <c r="Y169" i="17"/>
  <c r="Y171" i="17"/>
  <c r="Y177" i="17"/>
  <c r="Y24" i="17"/>
  <c r="Y25" i="17"/>
  <c r="Y33" i="17"/>
  <c r="Y46" i="17"/>
  <c r="Y47" i="17"/>
  <c r="Y48" i="17"/>
  <c r="Y53" i="17"/>
  <c r="Y125" i="17"/>
  <c r="Y129" i="17"/>
  <c r="Y143" i="17"/>
  <c r="Y145" i="17"/>
  <c r="Y172" i="17"/>
  <c r="Y182" i="17"/>
  <c r="Y49" i="17"/>
  <c r="Y50" i="17"/>
  <c r="Y45" i="17"/>
  <c r="Y82" i="17"/>
  <c r="Y170" i="17"/>
  <c r="Y184" i="17"/>
  <c r="Y187" i="17"/>
  <c r="Y131" i="17"/>
  <c r="Y9" i="17"/>
  <c r="Y22" i="17"/>
  <c r="Y142" i="17"/>
  <c r="Y161" i="17"/>
  <c r="Y174" i="17"/>
  <c r="Y62" i="17"/>
  <c r="Y81" i="17"/>
  <c r="Y127" i="17"/>
  <c r="Y162" i="17"/>
  <c r="Y185" i="17"/>
  <c r="Y190" i="17"/>
  <c r="Y58" i="17"/>
  <c r="Y74" i="17"/>
  <c r="Y83" i="17"/>
  <c r="Y78" i="17"/>
  <c r="Y178" i="17"/>
  <c r="Y188" i="17"/>
  <c r="Y138" i="17"/>
  <c r="Y7" i="17"/>
  <c r="Y11" i="17"/>
  <c r="Y66" i="17"/>
  <c r="Y69" i="17"/>
  <c r="Y70" i="17"/>
  <c r="Y144" i="17"/>
  <c r="Y147" i="17"/>
  <c r="Y150" i="17"/>
  <c r="Y151" i="17"/>
  <c r="Y152" i="17"/>
  <c r="Y153" i="17"/>
  <c r="Y154" i="17"/>
  <c r="Y158" i="17"/>
  <c r="Y160" i="17"/>
  <c r="Y163" i="17"/>
  <c r="Y166" i="17"/>
  <c r="Y167" i="17"/>
  <c r="Y173" i="17"/>
  <c r="Y175" i="17"/>
  <c r="Y180" i="17"/>
  <c r="Y181" i="17"/>
  <c r="Y183" i="17"/>
  <c r="Y186" i="17"/>
  <c r="Y192" i="17"/>
  <c r="Y140" i="17"/>
  <c r="Y149" i="17"/>
  <c r="Y176" i="17"/>
  <c r="Y179" i="17"/>
  <c r="Y164" i="17"/>
  <c r="Y44" i="17"/>
  <c r="Y128" i="17"/>
  <c r="Y84" i="17"/>
  <c r="Y79" i="17"/>
  <c r="Y80" i="17"/>
  <c r="Y123" i="17"/>
  <c r="Y126" i="17"/>
  <c r="Y189" i="17"/>
  <c r="Y68" i="17"/>
  <c r="Y71" i="17"/>
  <c r="Y141" i="17"/>
  <c r="Y159" i="17"/>
  <c r="Y191" i="17"/>
  <c r="Y121" i="17"/>
  <c r="Y130" i="17"/>
  <c r="Y5" i="17"/>
  <c r="S134" i="14" l="1"/>
  <c r="S135" i="14"/>
  <c r="D134" i="14"/>
  <c r="D135" i="14"/>
  <c r="J135" i="14"/>
  <c r="J134" i="14"/>
  <c r="F134" i="14"/>
  <c r="F135" i="14"/>
  <c r="F144" i="14"/>
  <c r="H135" i="14"/>
  <c r="H134" i="14"/>
  <c r="I13" i="31"/>
  <c r="I60" i="14"/>
  <c r="I59" i="14"/>
  <c r="I55" i="14"/>
  <c r="I52" i="14"/>
  <c r="I72" i="14"/>
  <c r="I34" i="31"/>
  <c r="I43" i="14"/>
  <c r="I13" i="14"/>
  <c r="I6" i="14"/>
  <c r="I81" i="14"/>
  <c r="I23" i="31"/>
  <c r="I88" i="14"/>
  <c r="I156" i="14"/>
  <c r="I49" i="14"/>
  <c r="I155" i="14"/>
  <c r="I79" i="14"/>
  <c r="I78" i="14"/>
  <c r="I24" i="31"/>
  <c r="I71" i="14"/>
  <c r="I157" i="14"/>
  <c r="I144" i="14"/>
  <c r="I139" i="14"/>
  <c r="I87" i="14"/>
  <c r="I77" i="14"/>
  <c r="I143" i="14"/>
  <c r="I136" i="14"/>
  <c r="I131" i="14"/>
  <c r="I101" i="14"/>
  <c r="I94" i="14"/>
  <c r="I89" i="14"/>
  <c r="I80" i="14"/>
  <c r="I12" i="31"/>
  <c r="I11" i="31" s="1"/>
  <c r="I86" i="14"/>
  <c r="I85" i="14"/>
  <c r="I83" i="14"/>
  <c r="I82" i="14"/>
  <c r="I70" i="14"/>
  <c r="I35" i="31"/>
  <c r="I48" i="14"/>
  <c r="U34" i="31"/>
  <c r="U24" i="31"/>
  <c r="U23" i="31"/>
  <c r="U35" i="31"/>
  <c r="U13" i="31"/>
  <c r="U12" i="31"/>
  <c r="U144" i="14"/>
  <c r="U94" i="14"/>
  <c r="U86" i="14"/>
  <c r="U81" i="14"/>
  <c r="U77" i="14"/>
  <c r="U60" i="14"/>
  <c r="U49" i="14"/>
  <c r="U6" i="14"/>
  <c r="U155" i="14"/>
  <c r="U136" i="14"/>
  <c r="U101" i="14"/>
  <c r="U87" i="14"/>
  <c r="U82" i="14"/>
  <c r="U78" i="14"/>
  <c r="U70" i="14"/>
  <c r="U52" i="14"/>
  <c r="U13" i="14"/>
  <c r="U43" i="14"/>
  <c r="U48" i="14"/>
  <c r="U156" i="14"/>
  <c r="U139" i="14"/>
  <c r="U131" i="14"/>
  <c r="U88" i="14"/>
  <c r="U83" i="14"/>
  <c r="U79" i="14"/>
  <c r="U71" i="14"/>
  <c r="U55" i="14"/>
  <c r="U89" i="14"/>
  <c r="U85" i="14"/>
  <c r="U59" i="14"/>
  <c r="U157" i="14"/>
  <c r="U143" i="14"/>
  <c r="U80" i="14"/>
  <c r="U72" i="14"/>
  <c r="S12" i="31"/>
  <c r="S24" i="31"/>
  <c r="S13" i="31"/>
  <c r="S23" i="31"/>
  <c r="S34" i="31"/>
  <c r="S35" i="31"/>
  <c r="S156" i="14"/>
  <c r="S139" i="14"/>
  <c r="S131" i="14"/>
  <c r="S88" i="14"/>
  <c r="S83" i="14"/>
  <c r="S79" i="14"/>
  <c r="S71" i="14"/>
  <c r="S55" i="14"/>
  <c r="S43" i="14"/>
  <c r="S157" i="14"/>
  <c r="S143" i="14"/>
  <c r="S89" i="14"/>
  <c r="S85" i="14"/>
  <c r="S80" i="14"/>
  <c r="S72" i="14"/>
  <c r="S59" i="14"/>
  <c r="S48" i="14"/>
  <c r="S49" i="14"/>
  <c r="S82" i="14"/>
  <c r="S78" i="14"/>
  <c r="S70" i="14"/>
  <c r="S144" i="14"/>
  <c r="S94" i="14"/>
  <c r="S86" i="14"/>
  <c r="S81" i="14"/>
  <c r="S77" i="14"/>
  <c r="S60" i="14"/>
  <c r="S6" i="14"/>
  <c r="S136" i="14"/>
  <c r="S87" i="14"/>
  <c r="S155" i="14"/>
  <c r="S101" i="14"/>
  <c r="S52" i="14"/>
  <c r="S13" i="14"/>
  <c r="J12" i="31"/>
  <c r="J24" i="31"/>
  <c r="J13" i="31"/>
  <c r="J23" i="31"/>
  <c r="J35" i="31"/>
  <c r="J34" i="31"/>
  <c r="J156" i="14"/>
  <c r="J139" i="14"/>
  <c r="J131" i="14"/>
  <c r="J88" i="14"/>
  <c r="J83" i="14"/>
  <c r="J79" i="14"/>
  <c r="J71" i="14"/>
  <c r="J55" i="14"/>
  <c r="J43" i="14"/>
  <c r="J157" i="14"/>
  <c r="J143" i="14"/>
  <c r="J89" i="14"/>
  <c r="J85" i="14"/>
  <c r="J80" i="14"/>
  <c r="J72" i="14"/>
  <c r="J59" i="14"/>
  <c r="J48" i="14"/>
  <c r="J6" i="14"/>
  <c r="J136" i="14"/>
  <c r="J82" i="14"/>
  <c r="J78" i="14"/>
  <c r="J144" i="14"/>
  <c r="J94" i="14"/>
  <c r="J86" i="14"/>
  <c r="J81" i="14"/>
  <c r="J77" i="14"/>
  <c r="J60" i="14"/>
  <c r="J49" i="14"/>
  <c r="J87" i="14"/>
  <c r="J13" i="14"/>
  <c r="J155" i="14"/>
  <c r="J101" i="14"/>
  <c r="J70" i="14"/>
  <c r="J52" i="14"/>
  <c r="H35" i="31"/>
  <c r="H34" i="31"/>
  <c r="H12" i="31"/>
  <c r="H24" i="31"/>
  <c r="H23" i="31"/>
  <c r="H13" i="31"/>
  <c r="H155" i="14"/>
  <c r="H136" i="14"/>
  <c r="H101" i="14"/>
  <c r="H87" i="14"/>
  <c r="H82" i="14"/>
  <c r="H78" i="14"/>
  <c r="H70" i="14"/>
  <c r="H52" i="14"/>
  <c r="H13" i="14"/>
  <c r="H6" i="14"/>
  <c r="H156" i="14"/>
  <c r="H139" i="14"/>
  <c r="H131" i="14"/>
  <c r="H88" i="14"/>
  <c r="H83" i="14"/>
  <c r="H79" i="14"/>
  <c r="H71" i="14"/>
  <c r="H55" i="14"/>
  <c r="H43" i="14"/>
  <c r="H48" i="14"/>
  <c r="H49" i="14"/>
  <c r="H157" i="14"/>
  <c r="H143" i="14"/>
  <c r="H89" i="14"/>
  <c r="H85" i="14"/>
  <c r="H80" i="14"/>
  <c r="H72" i="14"/>
  <c r="H59" i="14"/>
  <c r="H94" i="14"/>
  <c r="H60" i="14"/>
  <c r="H144" i="14"/>
  <c r="H86" i="14"/>
  <c r="H81" i="14"/>
  <c r="H77" i="14"/>
  <c r="D78" i="14"/>
  <c r="D77" i="14"/>
  <c r="D72" i="14"/>
  <c r="D71" i="14"/>
  <c r="D59" i="14"/>
  <c r="D55" i="14"/>
  <c r="D52" i="14"/>
  <c r="D49" i="14"/>
  <c r="D48" i="14"/>
  <c r="D43" i="14"/>
  <c r="D13" i="14"/>
  <c r="D70" i="14"/>
  <c r="D60" i="14"/>
  <c r="D6" i="14"/>
  <c r="D24" i="31"/>
  <c r="D23" i="31"/>
  <c r="D81" i="14"/>
  <c r="D86" i="14"/>
  <c r="D94" i="14"/>
  <c r="D144" i="14"/>
  <c r="D85" i="14"/>
  <c r="D13" i="31"/>
  <c r="D12" i="31"/>
  <c r="D82" i="14"/>
  <c r="D87" i="14"/>
  <c r="D101" i="14"/>
  <c r="D136" i="14"/>
  <c r="D155" i="14"/>
  <c r="D80" i="14"/>
  <c r="D89" i="14"/>
  <c r="D157" i="14"/>
  <c r="D35" i="31"/>
  <c r="D79" i="14"/>
  <c r="D83" i="14"/>
  <c r="D88" i="14"/>
  <c r="D131" i="14"/>
  <c r="D139" i="14"/>
  <c r="D156" i="14"/>
  <c r="D34" i="31"/>
  <c r="D143" i="14"/>
  <c r="F13" i="31"/>
  <c r="F23" i="31"/>
  <c r="F24" i="31"/>
  <c r="F12" i="31"/>
  <c r="F35" i="31"/>
  <c r="F34" i="31"/>
  <c r="F157" i="14"/>
  <c r="F143" i="14"/>
  <c r="F89" i="14"/>
  <c r="F156" i="14"/>
  <c r="F139" i="14"/>
  <c r="F131" i="14"/>
  <c r="F88" i="14"/>
  <c r="F83" i="14"/>
  <c r="F79" i="14"/>
  <c r="F71" i="14"/>
  <c r="F55" i="14"/>
  <c r="F43" i="14"/>
  <c r="F13" i="14"/>
  <c r="F80" i="14"/>
  <c r="F155" i="14"/>
  <c r="F136" i="14"/>
  <c r="F101" i="14"/>
  <c r="F87" i="14"/>
  <c r="F82" i="14"/>
  <c r="F78" i="14"/>
  <c r="F70" i="14"/>
  <c r="F52" i="14"/>
  <c r="F59" i="14"/>
  <c r="F48" i="14"/>
  <c r="F94" i="14"/>
  <c r="F86" i="14"/>
  <c r="F81" i="14"/>
  <c r="F77" i="14"/>
  <c r="F60" i="14"/>
  <c r="F49" i="14"/>
  <c r="F6" i="14"/>
  <c r="F85" i="14"/>
  <c r="F72" i="14"/>
  <c r="C70" i="14" l="1"/>
  <c r="C71" i="14"/>
  <c r="C72" i="14"/>
  <c r="C13" i="14"/>
  <c r="C52" i="14"/>
  <c r="C55" i="14"/>
  <c r="C43" i="14"/>
  <c r="C48" i="14"/>
  <c r="C49" i="14"/>
  <c r="C135" i="14"/>
  <c r="C134" i="14"/>
  <c r="I93" i="14"/>
  <c r="I33" i="31"/>
  <c r="I84" i="14"/>
  <c r="I142" i="14"/>
  <c r="I22" i="31"/>
  <c r="I76" i="14"/>
  <c r="I58" i="14"/>
  <c r="I5" i="14"/>
  <c r="F84" i="14"/>
  <c r="F5" i="14"/>
  <c r="D142" i="14"/>
  <c r="D84" i="14"/>
  <c r="H58" i="14"/>
  <c r="J76" i="14"/>
  <c r="S5" i="14"/>
  <c r="H93" i="14"/>
  <c r="F93" i="14"/>
  <c r="F58" i="14"/>
  <c r="H76" i="14"/>
  <c r="H142" i="14"/>
  <c r="J84" i="14"/>
  <c r="S76" i="14"/>
  <c r="U142" i="14"/>
  <c r="U76" i="14"/>
  <c r="F76" i="14"/>
  <c r="D93" i="14"/>
  <c r="H84" i="14"/>
  <c r="J93" i="14"/>
  <c r="J58" i="14"/>
  <c r="S142" i="14"/>
  <c r="U5" i="14"/>
  <c r="F142" i="14"/>
  <c r="C6" i="14"/>
  <c r="D5" i="14"/>
  <c r="D76" i="14"/>
  <c r="H5" i="14"/>
  <c r="S84" i="14"/>
  <c r="U58" i="14"/>
  <c r="D58" i="14"/>
  <c r="J5" i="14"/>
  <c r="J142" i="14"/>
  <c r="S93" i="14"/>
  <c r="S58" i="14"/>
  <c r="U84" i="14"/>
  <c r="U93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13" i="31"/>
  <c r="D33" i="31"/>
  <c r="D11" i="31"/>
  <c r="F11" i="31"/>
  <c r="C12" i="31"/>
  <c r="F33" i="31"/>
  <c r="C34" i="31"/>
  <c r="F22" i="31"/>
  <c r="C23" i="31"/>
  <c r="C79" i="14"/>
  <c r="C144" i="14"/>
  <c r="C131" i="14"/>
  <c r="C60" i="14"/>
  <c r="C89" i="14"/>
  <c r="C155" i="14"/>
  <c r="C87" i="14"/>
  <c r="C59" i="14"/>
  <c r="C94" i="14"/>
  <c r="K75" i="14"/>
  <c r="C80" i="14"/>
  <c r="C156" i="14"/>
  <c r="C139" i="14"/>
  <c r="C88" i="14"/>
  <c r="C136" i="14"/>
  <c r="C78" i="14"/>
  <c r="C83" i="14"/>
  <c r="C86" i="14"/>
  <c r="C85" i="14"/>
  <c r="C81" i="14"/>
  <c r="C82" i="14"/>
  <c r="C143" i="14"/>
  <c r="C157" i="14"/>
  <c r="C101" i="14"/>
  <c r="C77" i="14"/>
  <c r="C5" i="14" l="1"/>
  <c r="C20" i="12" s="1"/>
  <c r="C66" i="12" s="1"/>
  <c r="U92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75" i="14"/>
  <c r="I92" i="14"/>
  <c r="U4" i="14"/>
  <c r="S92" i="14"/>
  <c r="Q92" i="14"/>
  <c r="F4" i="14"/>
  <c r="J92" i="14"/>
  <c r="H92" i="14"/>
  <c r="D4" i="14"/>
  <c r="I4" i="14"/>
  <c r="R75" i="14"/>
  <c r="R92" i="14"/>
  <c r="Q4" i="14"/>
  <c r="H4" i="14"/>
  <c r="F92" i="14"/>
  <c r="D92" i="14"/>
  <c r="C58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75" i="14"/>
  <c r="D7" i="32" s="1"/>
  <c r="S75" i="14"/>
  <c r="M75" i="14"/>
  <c r="H75" i="14"/>
  <c r="E75" i="14"/>
  <c r="J75" i="14" l="1"/>
  <c r="D16" i="32" s="1"/>
  <c r="U75" i="14"/>
  <c r="D29" i="32" s="1"/>
  <c r="D28" i="32" s="1"/>
  <c r="D13" i="32"/>
  <c r="D11" i="32" s="1"/>
  <c r="D8" i="32"/>
  <c r="D26" i="32"/>
  <c r="D19" i="32"/>
  <c r="C14" i="32"/>
  <c r="C5" i="32" s="1"/>
  <c r="F75" i="14"/>
  <c r="L75" i="14"/>
  <c r="T75" i="14"/>
  <c r="I75" i="14"/>
  <c r="N75" i="14"/>
  <c r="V75" i="14"/>
  <c r="C93" i="14"/>
  <c r="E20" i="12" s="1"/>
  <c r="E66" i="12" s="1"/>
  <c r="C142" i="14"/>
  <c r="E21" i="12" s="1"/>
  <c r="E67" i="12" s="1"/>
  <c r="C76" i="14"/>
  <c r="D20" i="12" s="1"/>
  <c r="D66" i="12" s="1"/>
  <c r="C84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75" i="14"/>
  <c r="C92" i="14"/>
  <c r="D14" i="32" l="1"/>
  <c r="D5" i="32" s="1"/>
  <c r="C19" i="12"/>
  <c r="E31" i="12" l="1"/>
  <c r="D31" i="12" l="1"/>
  <c r="E47" i="13"/>
  <c r="E36" i="13" s="1"/>
  <c r="E33" i="13"/>
  <c r="E22" i="13" s="1"/>
  <c r="E19" i="13"/>
  <c r="U47" i="13"/>
  <c r="U36" i="13" s="1"/>
  <c r="T47" i="13"/>
  <c r="T36" i="13" s="1"/>
  <c r="S47" i="13"/>
  <c r="S36" i="13" s="1"/>
  <c r="N47" i="13"/>
  <c r="N36" i="13" s="1"/>
  <c r="M47" i="13"/>
  <c r="M36" i="13" s="1"/>
  <c r="L47" i="13"/>
  <c r="L36" i="13" s="1"/>
  <c r="J47" i="13"/>
  <c r="J36" i="13" s="1"/>
  <c r="I47" i="13"/>
  <c r="I36" i="13" s="1"/>
  <c r="H47" i="13"/>
  <c r="H36" i="13" s="1"/>
  <c r="F47" i="13"/>
  <c r="F36" i="13" s="1"/>
  <c r="D47" i="13"/>
  <c r="D36" i="13" s="1"/>
  <c r="U33" i="13"/>
  <c r="U22" i="13" s="1"/>
  <c r="T33" i="13"/>
  <c r="T22" i="13" s="1"/>
  <c r="S33" i="13"/>
  <c r="S22" i="13" s="1"/>
  <c r="N33" i="13"/>
  <c r="N22" i="13" s="1"/>
  <c r="M33" i="13"/>
  <c r="M22" i="13" s="1"/>
  <c r="L33" i="13"/>
  <c r="L22" i="13" s="1"/>
  <c r="J33" i="13"/>
  <c r="J22" i="13" s="1"/>
  <c r="I33" i="13"/>
  <c r="I22" i="13" s="1"/>
  <c r="H33" i="13"/>
  <c r="H22" i="13" s="1"/>
  <c r="F33" i="13"/>
  <c r="F22" i="13" s="1"/>
  <c r="U19" i="13"/>
  <c r="U8" i="13" s="1"/>
  <c r="T19" i="13"/>
  <c r="T8" i="13" s="1"/>
  <c r="S19" i="13"/>
  <c r="S8" i="13" s="1"/>
  <c r="N19" i="13"/>
  <c r="N8" i="13" s="1"/>
  <c r="M19" i="13"/>
  <c r="M8" i="13" s="1"/>
  <c r="L19" i="13"/>
  <c r="L8" i="13" s="1"/>
  <c r="J19" i="13"/>
  <c r="J8" i="13" s="1"/>
  <c r="I19" i="13"/>
  <c r="H19" i="13"/>
  <c r="F19" i="13"/>
  <c r="E19" i="12"/>
  <c r="D19" i="12"/>
  <c r="E15" i="32" l="1"/>
  <c r="E14" i="32" s="1"/>
  <c r="E5" i="32" s="1"/>
  <c r="C22" i="13"/>
  <c r="F8" i="13"/>
  <c r="E8" i="13"/>
  <c r="C19" i="13"/>
  <c r="C18" i="12" s="1"/>
  <c r="C64" i="12" s="1"/>
  <c r="C62" i="12" s="1"/>
  <c r="I8" i="13"/>
  <c r="H8" i="13"/>
  <c r="C47" i="13"/>
  <c r="E18" i="12" s="1"/>
  <c r="E64" i="12" s="1"/>
  <c r="C33" i="13"/>
  <c r="D18" i="12" s="1"/>
  <c r="D64" i="12" s="1"/>
  <c r="C44" i="13"/>
  <c r="E17" i="12" s="1"/>
  <c r="E63" i="12" s="1"/>
  <c r="C30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36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C107" i="14" l="1"/>
  <c r="C132" i="14"/>
  <c r="C145" i="14"/>
  <c r="C19" i="14" l="1"/>
  <c r="C23" i="14"/>
  <c r="C37" i="14"/>
  <c r="C47" i="14"/>
  <c r="C50" i="14"/>
  <c r="C61" i="14" l="1"/>
</calcChain>
</file>

<file path=xl/sharedStrings.xml><?xml version="1.0" encoding="utf-8"?>
<sst xmlns="http://schemas.openxmlformats.org/spreadsheetml/2006/main" count="13929" uniqueCount="5299">
  <si>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</si>
  <si>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</si>
  <si>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</si>
  <si>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</si>
  <si>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</si>
  <si>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</si>
  <si>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</si>
  <si>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</si>
  <si>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</si>
  <si>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</si>
  <si>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</si>
  <si>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</si>
  <si>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</si>
  <si>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</si>
  <si>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</si>
  <si>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</si>
  <si>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</si>
  <si>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</si>
  <si>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</si>
  <si>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</si>
  <si>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</si>
  <si>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</si>
  <si>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</si>
  <si>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</si>
  <si>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</si>
  <si>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</si>
  <si>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</si>
  <si>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</si>
  <si>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</si>
  <si>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</si>
  <si>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</si>
  <si>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</si>
  <si>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</si>
  <si>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</si>
  <si>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</si>
  <si>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</si>
  <si>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</si>
  <si>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</si>
  <si>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</si>
  <si>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</si>
  <si>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</si>
  <si>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</si>
  <si>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</si>
  <si>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</si>
  <si>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</si>
  <si>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</si>
  <si>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</si>
  <si>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</si>
  <si>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</si>
  <si>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</si>
  <si>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</si>
  <si>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</si>
  <si>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</si>
  <si>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</si>
  <si>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</si>
  <si>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</si>
  <si>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</si>
  <si>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</si>
  <si>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</si>
  <si>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</si>
  <si>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</si>
  <si>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</si>
  <si>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</si>
  <si>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</si>
  <si>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</si>
  <si>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</si>
  <si>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</si>
  <si>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</si>
  <si>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</si>
  <si>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</si>
  <si>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</si>
  <si>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</si>
  <si>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</si>
  <si>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</si>
  <si>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</si>
  <si>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</si>
  <si>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</si>
  <si>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</si>
  <si>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</si>
  <si>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</si>
  <si>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</si>
  <si>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</si>
  <si>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</si>
  <si>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</si>
  <si>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</si>
  <si>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</si>
  <si>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</si>
  <si>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</si>
  <si>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</si>
  <si>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</si>
  <si>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</si>
  <si>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</si>
  <si>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</si>
  <si>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</si>
  <si>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</si>
  <si>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</si>
  <si>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</si>
  <si>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</si>
  <si>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</si>
  <si>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</si>
  <si>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</si>
  <si>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</si>
  <si>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</si>
  <si>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</si>
  <si>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</si>
  <si>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</si>
  <si>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</si>
  <si>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</si>
  <si>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</si>
  <si>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</si>
  <si>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</si>
  <si>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</si>
  <si>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</si>
  <si>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</si>
  <si>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</si>
  <si>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</si>
  <si>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</si>
  <si>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</si>
  <si>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</si>
  <si>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</si>
  <si>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</si>
  <si>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</si>
  <si>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</si>
  <si>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</si>
  <si>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</si>
  <si>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</si>
  <si>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</si>
  <si>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</si>
  <si>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</si>
  <si>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</si>
  <si>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</si>
  <si>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</si>
  <si>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</si>
  <si>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</si>
  <si>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</si>
  <si>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</si>
  <si>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</si>
  <si>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</si>
  <si>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</si>
  <si>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</si>
  <si>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</si>
  <si>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</si>
  <si>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</si>
  <si>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</si>
  <si>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</si>
  <si>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</si>
  <si>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</si>
  <si>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</si>
  <si>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</si>
  <si>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</si>
  <si>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</si>
  <si>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</si>
  <si>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</si>
  <si>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</si>
  <si>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</si>
  <si>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</si>
  <si>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</si>
  <si>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</si>
  <si>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</si>
  <si>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</si>
  <si>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</si>
  <si>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</si>
  <si>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</si>
  <si>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</si>
  <si>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</si>
  <si>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</si>
  <si>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</si>
  <si>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</si>
  <si>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</si>
  <si>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</si>
  <si>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</si>
  <si>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</si>
  <si>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</si>
  <si>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</si>
  <si>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</si>
  <si>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</si>
  <si>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</si>
  <si>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</si>
  <si>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</si>
  <si>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</si>
  <si>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</si>
  <si>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</si>
  <si>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</si>
  <si>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</si>
  <si>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</si>
  <si>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</si>
  <si>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</si>
  <si>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</si>
  <si>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</si>
  <si>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</si>
  <si>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</si>
  <si>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</si>
  <si>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</si>
  <si>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</si>
  <si>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</si>
  <si>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</si>
  <si>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</si>
  <si>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</si>
  <si>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</si>
  <si>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</si>
  <si>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</si>
  <si>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</si>
  <si>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</si>
  <si>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</si>
  <si>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</si>
  <si>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</si>
  <si>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</si>
  <si>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</si>
  <si>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</si>
  <si>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</si>
  <si>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</si>
  <si>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</si>
  <si>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</si>
  <si>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</si>
  <si>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</si>
  <si>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</si>
  <si>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</si>
  <si>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</si>
  <si>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</si>
  <si>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</si>
  <si>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</si>
  <si>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</si>
  <si>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</si>
  <si>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</si>
  <si>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</si>
  <si>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</si>
  <si>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</si>
  <si>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</si>
  <si>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</si>
  <si>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</si>
  <si>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</si>
  <si>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</si>
  <si>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</si>
  <si>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</si>
  <si>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</si>
  <si>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</si>
  <si>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</si>
  <si>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</si>
  <si>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</si>
  <si>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</si>
  <si>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</si>
  <si>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</si>
  <si>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</si>
  <si>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</si>
  <si>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</si>
  <si>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</si>
  <si>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</si>
  <si>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</si>
  <si>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</si>
  <si>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</si>
  <si>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</si>
  <si>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</si>
  <si>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</si>
  <si>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</si>
  <si>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</si>
  <si>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</si>
  <si>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</si>
  <si>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</si>
  <si>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</si>
  <si>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</si>
  <si>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</si>
  <si>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</si>
  <si>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</si>
  <si>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</si>
  <si>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</si>
  <si>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</si>
  <si>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</si>
  <si>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</si>
  <si>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</si>
  <si>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</si>
  <si>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</si>
  <si>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</si>
  <si>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</si>
  <si>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</si>
  <si>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</si>
  <si>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</si>
  <si>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</si>
  <si>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</si>
  <si>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</si>
  <si>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</si>
  <si>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</si>
  <si>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</si>
  <si>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</si>
  <si>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</si>
  <si>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</si>
  <si>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</si>
  <si>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</si>
  <si>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</si>
  <si>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</si>
  <si>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</si>
  <si>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</si>
  <si>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</si>
  <si>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</si>
  <si>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</si>
  <si>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</si>
  <si>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</si>
  <si>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</si>
  <si>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</si>
  <si>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</si>
  <si>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</si>
  <si>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</si>
  <si>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</si>
  <si>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</si>
  <si>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</si>
  <si>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</si>
  <si>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</si>
  <si>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</si>
  <si>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</si>
  <si>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</si>
  <si>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</si>
  <si>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</si>
  <si>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</si>
  <si>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</si>
  <si>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</si>
  <si>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</si>
  <si>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</si>
  <si>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</si>
  <si>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</si>
  <si>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</si>
  <si>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</si>
  <si>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</si>
  <si>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</si>
  <si>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</si>
  <si>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</si>
  <si>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</si>
  <si>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</si>
  <si>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</si>
  <si>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</si>
  <si>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</si>
  <si>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</si>
  <si>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</si>
  <si>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</si>
  <si>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</si>
  <si>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</si>
  <si>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</si>
  <si>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</si>
  <si>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</si>
  <si>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</si>
  <si>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</si>
  <si>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</si>
  <si>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</si>
  <si>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</si>
  <si>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</si>
  <si>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</si>
  <si>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</si>
  <si>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</si>
  <si>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</si>
  <si>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</si>
  <si>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</si>
  <si>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</si>
  <si>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</si>
  <si>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</si>
  <si>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</si>
  <si>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</si>
  <si>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</si>
  <si>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</si>
  <si>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</si>
  <si>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</si>
  <si>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</si>
  <si>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</si>
  <si>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</si>
  <si>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</si>
  <si>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</si>
  <si>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</si>
  <si>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</si>
  <si>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</si>
  <si>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</si>
  <si>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</si>
  <si>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</si>
  <si>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</si>
  <si>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</si>
  <si>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</si>
  <si>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</si>
  <si>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</si>
  <si>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</si>
  <si>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</si>
  <si>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</si>
  <si>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</si>
  <si>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</si>
  <si>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</si>
  <si>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</si>
  <si>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</si>
  <si>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</si>
  <si>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</si>
  <si>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</si>
  <si>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</si>
  <si>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</si>
  <si>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</si>
  <si>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</si>
  <si>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</si>
  <si>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</si>
  <si>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</si>
  <si>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</si>
  <si>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</si>
  <si>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</si>
  <si>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</si>
  <si>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</si>
  <si>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</si>
  <si>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</si>
  <si>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</si>
  <si>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</si>
  <si>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</si>
  <si>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</si>
  <si>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</si>
  <si>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</si>
  <si>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</si>
  <si>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</si>
  <si>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</si>
  <si>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</si>
  <si>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</si>
  <si>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</si>
  <si>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</si>
  <si>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</si>
  <si>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</si>
  <si>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</si>
  <si>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</si>
  <si>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</si>
  <si>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</si>
  <si>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</si>
  <si>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</si>
  <si>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</si>
  <si>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</si>
  <si>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</si>
  <si>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</si>
  <si>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</si>
  <si>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</si>
  <si>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</si>
  <si>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</si>
  <si>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</si>
  <si>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</si>
  <si>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</si>
  <si>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</si>
  <si>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</si>
  <si>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</si>
  <si>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</si>
  <si>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</si>
  <si>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</si>
  <si>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</si>
  <si>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</si>
  <si>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</si>
  <si>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</si>
  <si>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</si>
  <si>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</si>
  <si>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</si>
  <si>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</si>
  <si>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</si>
  <si>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</si>
  <si>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</si>
  <si>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</si>
  <si>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</si>
  <si>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</si>
  <si>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</si>
  <si>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</si>
  <si>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</si>
  <si>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</si>
  <si>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</si>
  <si>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</si>
  <si>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</si>
  <si>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</si>
  <si>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</si>
  <si>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</si>
  <si>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</si>
  <si>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</si>
  <si>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</si>
  <si>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</si>
  <si>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</si>
  <si>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</si>
  <si>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</si>
  <si>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</si>
  <si>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</si>
  <si>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</si>
  <si>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</si>
  <si>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</si>
  <si>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</si>
  <si>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</si>
  <si>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</si>
  <si>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</si>
  <si>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</si>
  <si>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</si>
  <si>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</si>
  <si>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</si>
  <si>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</si>
  <si>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</si>
  <si>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</si>
  <si>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</si>
  <si>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</si>
  <si>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</si>
  <si>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</si>
  <si>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</si>
  <si>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</si>
  <si>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</si>
  <si>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</si>
  <si>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</si>
  <si>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</si>
  <si>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</si>
  <si>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</si>
  <si>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</si>
  <si>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</si>
  <si>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</si>
  <si>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</si>
  <si>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</si>
  <si>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</si>
  <si>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</si>
  <si>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</si>
  <si>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</si>
  <si>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</si>
  <si>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</si>
  <si>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</si>
  <si>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</si>
  <si>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</si>
  <si>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</si>
  <si>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</si>
  <si>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</si>
  <si>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</si>
  <si>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</si>
  <si>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</si>
  <si>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</si>
  <si>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</si>
  <si>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</si>
  <si>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</si>
  <si>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</si>
  <si>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</si>
  <si>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</si>
  <si>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</si>
  <si>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</si>
  <si>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</si>
  <si>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</si>
  <si>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</si>
  <si>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</si>
  <si>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</si>
  <si>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</si>
  <si>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</si>
  <si>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</si>
  <si>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</si>
  <si>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</si>
  <si>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</si>
  <si>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</si>
  <si>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</si>
  <si>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</si>
  <si>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</si>
  <si>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</si>
  <si>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</si>
  <si>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</si>
  <si>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</si>
  <si>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</si>
  <si>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</si>
  <si>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</si>
  <si>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</si>
  <si>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</si>
  <si>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</si>
  <si>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</si>
  <si>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</si>
  <si>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</si>
  <si>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</si>
  <si>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</si>
  <si>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</si>
  <si>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</si>
  <si>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</si>
  <si>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</si>
  <si>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</si>
  <si>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</si>
  <si>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</si>
  <si>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</si>
  <si>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</si>
  <si>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</si>
  <si>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</si>
  <si>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</si>
  <si>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</si>
  <si>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</si>
  <si>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</si>
  <si>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</si>
  <si>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</si>
  <si>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</si>
  <si>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</si>
  <si>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</si>
  <si>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</si>
  <si>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</si>
  <si>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</si>
  <si>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</si>
  <si>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</si>
  <si>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</si>
  <si>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</si>
  <si>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</si>
  <si>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</si>
  <si>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</si>
  <si>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</si>
  <si>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</si>
  <si>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</si>
  <si>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</si>
  <si>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</si>
  <si>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</si>
  <si>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</si>
  <si>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</si>
  <si>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</si>
  <si>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</si>
  <si>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</si>
  <si>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</si>
  <si>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</si>
  <si>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</si>
  <si>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</si>
  <si>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</si>
  <si>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</si>
  <si>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</si>
  <si>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</si>
  <si>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</si>
  <si>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</si>
  <si>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</si>
  <si>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</si>
  <si>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</si>
  <si>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</si>
  <si>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</si>
  <si>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</si>
  <si>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</si>
  <si>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</si>
  <si>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</si>
  <si>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</si>
  <si>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</si>
  <si>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</si>
  <si>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</si>
  <si>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</si>
  <si>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</si>
  <si>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</si>
  <si>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</si>
  <si>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</si>
  <si>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</si>
  <si>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</si>
  <si>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</si>
  <si>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</si>
  <si>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</si>
  <si>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</si>
  <si>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</si>
  <si>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</si>
  <si>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</si>
  <si>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</si>
  <si>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</si>
  <si>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</si>
  <si>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</si>
  <si>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</si>
  <si>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</si>
  <si>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</si>
  <si>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</si>
  <si>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</si>
  <si>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</si>
  <si>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</si>
  <si>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</si>
  <si>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</si>
  <si>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</si>
  <si>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</si>
  <si>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</si>
  <si>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</si>
  <si>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</si>
  <si>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</si>
  <si>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</si>
  <si>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</si>
  <si>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</si>
  <si>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</si>
  <si>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</si>
  <si>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</si>
  <si>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</si>
  <si>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</si>
  <si>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</si>
  <si>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</si>
  <si>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</si>
  <si>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</si>
  <si>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</si>
  <si>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</si>
  <si>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</si>
  <si>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</si>
  <si>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</si>
  <si>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</si>
  <si>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</si>
  <si>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</si>
  <si>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</si>
  <si>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</si>
  <si>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</si>
  <si>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</si>
  <si>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</si>
  <si>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</si>
  <si>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</si>
  <si>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</si>
  <si>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</si>
  <si>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</si>
  <si>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</si>
  <si>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</si>
  <si>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</si>
  <si>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</si>
  <si>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</si>
  <si>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</si>
  <si>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</si>
  <si>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</si>
  <si>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</si>
  <si>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</si>
  <si>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</si>
  <si>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</si>
  <si>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</si>
  <si>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</si>
  <si>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</si>
  <si>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</si>
  <si>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</si>
  <si>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</si>
  <si>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</si>
  <si>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</si>
  <si>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</si>
  <si>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</si>
  <si>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</si>
  <si>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</si>
  <si>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</si>
  <si>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</si>
  <si>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</si>
  <si>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</si>
  <si>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</si>
  <si>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</si>
  <si>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</si>
  <si>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</si>
  <si>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</si>
  <si>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</si>
  <si>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</si>
  <si>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</si>
  <si>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</si>
  <si>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</si>
  <si>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</si>
  <si>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</si>
  <si>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</si>
  <si>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</si>
  <si>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</si>
  <si>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</si>
  <si>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</si>
  <si>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</si>
  <si>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</si>
  <si>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</si>
  <si>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</si>
  <si>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</si>
  <si>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</si>
  <si>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</si>
  <si>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</si>
  <si>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</si>
  <si>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</si>
  <si>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</si>
  <si>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</si>
  <si>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</si>
  <si>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</si>
  <si>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</si>
  <si>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</si>
  <si>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</si>
  <si>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</si>
  <si>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</si>
  <si>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</si>
  <si>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</si>
  <si>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</si>
  <si>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</si>
  <si>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</si>
  <si>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</si>
  <si>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</si>
  <si>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</si>
  <si>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</si>
  <si>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</si>
  <si>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</si>
  <si>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</si>
  <si>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</si>
  <si>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</si>
  <si>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</si>
  <si>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</si>
  <si>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</si>
  <si>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</si>
  <si>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</si>
  <si>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</si>
  <si>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</si>
  <si>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</si>
  <si>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</si>
  <si>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</si>
  <si>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</si>
  <si>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</si>
  <si>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</si>
  <si>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</si>
  <si>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</si>
  <si>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</si>
  <si>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</si>
  <si>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</si>
  <si>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</si>
  <si>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</si>
  <si>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</si>
  <si>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</si>
  <si>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</si>
  <si>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</si>
  <si>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</si>
  <si>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</si>
  <si>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</si>
  <si>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</si>
  <si>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</si>
  <si>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</si>
  <si>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</si>
  <si>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</si>
  <si>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</si>
  <si>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</si>
  <si>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</si>
  <si>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</si>
  <si>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</si>
  <si>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</si>
  <si>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</si>
  <si>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</si>
  <si>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</si>
  <si>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</si>
  <si>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</si>
  <si>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</si>
  <si>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</si>
  <si>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</si>
  <si>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</si>
  <si>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</si>
  <si>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</si>
  <si>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</si>
  <si>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</si>
  <si>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</si>
  <si>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</si>
  <si>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</si>
  <si>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</si>
  <si>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</si>
  <si>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</si>
  <si>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</si>
  <si>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</si>
  <si>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</si>
  <si>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</si>
  <si>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</si>
  <si>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</si>
  <si>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</si>
  <si>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</si>
  <si>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</si>
  <si>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</si>
  <si>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</si>
  <si>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</si>
  <si>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</si>
  <si>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</si>
  <si>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</si>
  <si>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</si>
  <si>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</si>
  <si>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</si>
  <si>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</si>
  <si>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</si>
  <si>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</si>
  <si>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</si>
  <si>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</si>
  <si>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</si>
  <si>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</si>
  <si>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</si>
  <si>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</si>
  <si>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</si>
  <si>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</si>
  <si>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</si>
  <si>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</si>
  <si>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</si>
  <si>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</si>
  <si>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</si>
  <si>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</si>
  <si>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</si>
  <si>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</si>
  <si>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</si>
  <si>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</si>
  <si>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</si>
  <si>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</si>
  <si>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</si>
  <si>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</si>
  <si>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</si>
  <si>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</si>
  <si>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</si>
  <si>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</si>
  <si>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</si>
  <si>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</si>
  <si>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</si>
  <si>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</si>
  <si>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</si>
  <si>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</si>
  <si>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</si>
  <si>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</si>
  <si>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</si>
  <si>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</si>
  <si>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</si>
  <si>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</si>
  <si>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</si>
  <si>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</si>
  <si>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</si>
  <si>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</si>
  <si>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</si>
  <si>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</si>
  <si>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</si>
  <si>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</si>
  <si>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</si>
  <si>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</si>
  <si>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</si>
  <si>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</si>
  <si>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</si>
  <si>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</si>
  <si>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</si>
  <si>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</si>
  <si>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</si>
  <si>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</si>
  <si>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</si>
  <si>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</si>
  <si>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</si>
  <si>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</si>
  <si>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</si>
  <si>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</si>
  <si>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</si>
  <si>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</si>
  <si>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</si>
  <si>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</si>
  <si>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</si>
  <si>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</si>
  <si>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</si>
  <si>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</si>
  <si>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</si>
  <si>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</si>
  <si>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</si>
  <si>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</si>
  <si>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</si>
  <si>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</si>
  <si>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</si>
  <si>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</si>
  <si>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</si>
  <si>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</si>
  <si>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</si>
  <si>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</si>
  <si>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</si>
  <si>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</si>
  <si>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</si>
  <si>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</si>
  <si>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</si>
  <si>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</si>
  <si>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</si>
  <si>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</si>
  <si>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</si>
  <si>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</si>
  <si>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</si>
  <si>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</si>
  <si>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</si>
  <si>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</si>
  <si>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</si>
  <si>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</si>
  <si>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</si>
  <si>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</si>
  <si>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</si>
  <si>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</si>
  <si>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</si>
  <si>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</si>
  <si>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</si>
  <si>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</si>
  <si>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</si>
  <si>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</si>
  <si>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</si>
  <si>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</si>
  <si>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</si>
  <si>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</si>
  <si>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</si>
  <si>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</si>
  <si>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</si>
  <si>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</si>
  <si>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</si>
  <si>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</si>
  <si>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</si>
  <si>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</si>
  <si>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</si>
  <si>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</si>
  <si>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</si>
  <si>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</si>
  <si>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</si>
  <si>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</si>
  <si>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</si>
  <si>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</si>
  <si>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</si>
  <si>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</si>
  <si>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</si>
  <si>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</si>
  <si>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</si>
  <si>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</si>
  <si>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</si>
  <si>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</si>
  <si>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</si>
  <si>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</si>
  <si>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</si>
  <si>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</si>
  <si>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</si>
  <si>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</si>
  <si>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</si>
  <si>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</si>
  <si>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</si>
  <si>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</si>
  <si>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</si>
  <si>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</si>
  <si>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</si>
  <si>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</si>
  <si>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</si>
  <si>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</si>
  <si>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</si>
  <si>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</si>
  <si>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</si>
  <si>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</si>
  <si>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</si>
  <si>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</si>
  <si>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</si>
  <si>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</si>
  <si>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</si>
  <si>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</si>
  <si>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</si>
  <si>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</si>
  <si>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</si>
  <si>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</si>
  <si>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</si>
  <si>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</si>
  <si>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</si>
  <si>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</si>
  <si>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</si>
  <si>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</si>
  <si>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</si>
  <si>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</si>
  <si>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</si>
  <si>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</si>
  <si>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</si>
  <si>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</si>
  <si>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</si>
  <si>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</si>
  <si>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</si>
  <si>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</si>
  <si>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</si>
  <si>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</si>
  <si>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</si>
  <si>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</si>
  <si>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</si>
  <si>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</si>
  <si>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</si>
  <si>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</si>
  <si>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</si>
  <si>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</si>
  <si>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</si>
  <si>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</si>
  <si>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</si>
  <si>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</si>
  <si>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</si>
  <si>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</si>
  <si>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</si>
  <si>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</si>
  <si>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</si>
  <si>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</si>
  <si>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</si>
  <si>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</si>
  <si>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</si>
  <si>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</si>
  <si>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</si>
  <si>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</si>
  <si>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</si>
  <si>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</si>
  <si>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</si>
  <si>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</si>
  <si>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</si>
  <si>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</si>
  <si>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</si>
  <si>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</si>
  <si>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</si>
  <si>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</si>
  <si>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</si>
  <si>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</si>
  <si>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</si>
  <si>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</si>
  <si>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</si>
  <si>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</si>
  <si>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</si>
  <si>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</si>
  <si>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</si>
  <si>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</si>
  <si>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</si>
  <si>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</si>
  <si>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</si>
  <si>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</si>
  <si>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</si>
  <si>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</si>
  <si>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</si>
  <si>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</si>
  <si>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</si>
  <si>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</si>
  <si>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</si>
  <si>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</si>
  <si>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</si>
  <si>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</si>
  <si>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</si>
  <si>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</si>
  <si>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</si>
  <si>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</si>
  <si>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</si>
  <si>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</si>
  <si>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</si>
  <si>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</si>
  <si>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</si>
  <si>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</si>
  <si>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</si>
  <si>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</si>
  <si>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</si>
  <si>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</si>
  <si>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</si>
  <si>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</si>
  <si>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</si>
  <si>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</si>
  <si>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</si>
  <si>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</si>
  <si>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</si>
  <si>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</si>
  <si>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</si>
  <si>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</si>
  <si>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</si>
  <si>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</si>
  <si>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</si>
  <si>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</si>
  <si>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</si>
  <si>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</si>
  <si>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</si>
  <si>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</si>
  <si>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</si>
  <si>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</si>
  <si>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</si>
  <si>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</si>
  <si>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</si>
  <si>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</si>
  <si>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</si>
  <si>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</si>
  <si>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</si>
  <si>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</si>
  <si>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</si>
  <si>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</si>
  <si>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</si>
  <si>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</si>
  <si>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</si>
  <si>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</si>
  <si>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</si>
  <si>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</si>
  <si>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</si>
  <si>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</si>
  <si>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</si>
  <si>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</si>
  <si>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</si>
  <si>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</si>
  <si>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</si>
  <si>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</si>
  <si>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</si>
  <si>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</si>
  <si>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</si>
  <si>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</si>
  <si>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</si>
  <si>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</si>
  <si>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</si>
  <si>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</si>
  <si>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</si>
  <si>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</si>
  <si>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</si>
  <si>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</si>
  <si>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</si>
  <si>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</si>
  <si>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</si>
  <si>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</si>
  <si>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</si>
  <si>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</si>
  <si>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</si>
  <si>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</si>
  <si>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</si>
  <si>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</si>
  <si>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</si>
  <si>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</si>
  <si>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</si>
  <si>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</si>
  <si>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</si>
  <si>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</si>
  <si>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</si>
  <si>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</si>
  <si>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</si>
  <si>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</si>
  <si>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</si>
  <si>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</si>
  <si>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</si>
  <si>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</si>
  <si>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</si>
  <si>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</si>
  <si>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</si>
  <si>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</si>
  <si>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</si>
  <si>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</si>
  <si>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</si>
  <si>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</si>
  <si>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</si>
  <si>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</si>
  <si>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</si>
  <si>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</si>
  <si>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</si>
  <si>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</si>
  <si>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</si>
  <si>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</si>
  <si>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</si>
  <si>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</si>
  <si>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</si>
  <si>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</si>
  <si>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</si>
  <si>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</si>
  <si>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</si>
  <si>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</si>
  <si>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</si>
  <si>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</si>
  <si>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</si>
  <si>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</si>
  <si>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</si>
  <si>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</si>
  <si>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</si>
  <si>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</si>
  <si>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</si>
  <si>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</si>
  <si>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</si>
  <si>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</si>
  <si>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</si>
  <si>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</si>
  <si>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</si>
  <si>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</si>
  <si>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</si>
  <si>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</si>
  <si>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</si>
  <si>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</si>
  <si>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</si>
  <si>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</si>
  <si>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</si>
  <si>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</si>
  <si>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</si>
  <si>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</si>
  <si>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</si>
  <si>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</si>
  <si>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</si>
  <si>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</si>
  <si>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</si>
  <si>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</si>
  <si>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</si>
  <si>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</si>
  <si>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</si>
  <si>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</si>
  <si>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</si>
  <si>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</si>
  <si>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</si>
  <si>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</si>
  <si>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</si>
  <si>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</si>
  <si>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</si>
  <si>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</si>
  <si>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</si>
  <si>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</si>
  <si>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</si>
  <si>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</si>
  <si>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</si>
  <si>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</si>
  <si>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</si>
  <si>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</si>
  <si>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</si>
  <si>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</si>
  <si>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</si>
  <si>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</si>
  <si>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</si>
  <si>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</si>
  <si>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</si>
  <si>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</si>
  <si>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</si>
  <si>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</si>
  <si>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</si>
  <si>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</si>
  <si>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</si>
  <si>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</si>
  <si>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</si>
  <si>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</si>
  <si>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</si>
  <si>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</si>
  <si>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</si>
  <si>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</si>
  <si>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</si>
  <si>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</si>
  <si>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</si>
  <si>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</si>
  <si>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</si>
  <si>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</si>
  <si>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</si>
  <si>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</si>
  <si>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</si>
  <si>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</si>
  <si>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</si>
  <si>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</si>
  <si>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</si>
  <si>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</si>
  <si>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</si>
  <si>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</si>
  <si>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</si>
  <si>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</si>
  <si>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</si>
  <si>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</si>
  <si>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</si>
  <si>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</si>
  <si>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</si>
  <si>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</si>
  <si>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</si>
  <si>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</si>
  <si>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</si>
  <si>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</si>
  <si>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</si>
  <si>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</si>
  <si>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</si>
  <si>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</si>
  <si>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</si>
  <si>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</si>
  <si>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</si>
  <si>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</si>
  <si>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</si>
  <si>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</si>
  <si>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</si>
  <si>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</si>
  <si>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</si>
  <si>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</si>
  <si>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</si>
  <si>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</si>
  <si>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</si>
  <si>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</si>
  <si>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</si>
  <si>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</si>
  <si>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</si>
  <si>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</si>
  <si>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</si>
  <si>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</si>
  <si>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</si>
  <si>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</si>
  <si>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</si>
  <si>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</si>
  <si>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</si>
  <si>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</si>
  <si>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</si>
  <si>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</si>
  <si>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</si>
  <si>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</si>
  <si>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</si>
  <si>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</si>
  <si>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</si>
  <si>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</si>
  <si>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</si>
  <si>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</si>
  <si>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</si>
  <si>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</si>
  <si>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</si>
  <si>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</si>
  <si>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</si>
  <si>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</si>
  <si>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</si>
  <si>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</si>
  <si>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</si>
  <si>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</si>
  <si>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</si>
  <si>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</si>
  <si>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</si>
  <si>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</si>
  <si>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</si>
  <si>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</si>
  <si>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</si>
  <si>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</si>
  <si>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</si>
  <si>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</si>
  <si>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</si>
  <si>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</si>
  <si>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</si>
  <si>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</si>
  <si>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</si>
  <si>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</si>
  <si>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</si>
  <si>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</si>
  <si>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</si>
  <si>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</si>
  <si>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</si>
  <si>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</si>
  <si>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</si>
  <si>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</si>
  <si>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</si>
  <si>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</si>
  <si>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</si>
  <si>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</si>
  <si>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</si>
  <si>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</si>
  <si>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</si>
  <si>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</si>
  <si>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</si>
  <si>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</si>
  <si>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</si>
  <si>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</si>
  <si>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</si>
  <si>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</si>
  <si>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</si>
  <si>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</si>
  <si>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</si>
  <si>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</si>
  <si>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</si>
  <si>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</si>
  <si>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</si>
  <si>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</si>
  <si>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</si>
  <si>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</si>
  <si>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</si>
  <si>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</si>
  <si>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</si>
  <si>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</si>
  <si>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</si>
  <si>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</si>
  <si>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</si>
  <si>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</si>
  <si>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</si>
  <si>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</si>
  <si>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</si>
  <si>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</si>
  <si>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</si>
  <si>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</si>
  <si>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</si>
  <si>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</si>
  <si>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</si>
  <si>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</si>
  <si>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</si>
  <si>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</si>
  <si>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</si>
  <si>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</si>
  <si>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</si>
  <si>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</si>
  <si>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</si>
  <si>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</si>
  <si>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</si>
  <si>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</si>
  <si>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</si>
  <si>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</si>
  <si>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</si>
  <si>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</si>
  <si>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</si>
  <si>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</si>
  <si>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</si>
  <si>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</si>
  <si>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</si>
  <si>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</si>
  <si>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</si>
  <si>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</si>
  <si>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</si>
  <si>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</si>
  <si>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</si>
  <si>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</si>
  <si>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</si>
  <si>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</si>
  <si>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</si>
  <si>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</si>
  <si>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</si>
  <si>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</si>
  <si>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</si>
  <si>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</si>
  <si>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</si>
  <si>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</si>
  <si>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</si>
  <si>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</si>
  <si>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</si>
  <si>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</si>
  <si>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</si>
  <si>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</si>
  <si>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</si>
  <si>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</si>
  <si>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</si>
  <si>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</si>
  <si>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</si>
  <si>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</si>
  <si>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</si>
  <si>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</si>
  <si>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</si>
  <si>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</si>
  <si>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</si>
  <si>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</si>
  <si>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</si>
  <si>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</si>
  <si>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</si>
  <si>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</si>
  <si>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</si>
  <si>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</si>
  <si>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</si>
  <si>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</si>
  <si>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</si>
  <si>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</si>
  <si>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</si>
  <si>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</si>
  <si>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</si>
  <si>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</si>
  <si>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</si>
  <si>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</si>
  <si>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</si>
  <si>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</si>
  <si>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</si>
  <si>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</si>
  <si>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</si>
  <si>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</si>
  <si>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</si>
  <si>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</si>
  <si>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</si>
  <si>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</si>
  <si>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</si>
  <si>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</si>
  <si>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</si>
  <si>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</si>
  <si>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</si>
  <si>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</si>
  <si>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</si>
  <si>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</si>
  <si>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</si>
  <si>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</si>
  <si>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</si>
  <si>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</si>
  <si>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</si>
  <si>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</si>
  <si>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</si>
  <si>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</si>
  <si>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</si>
  <si>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</si>
  <si>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</si>
  <si>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</si>
  <si>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</si>
  <si>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</si>
  <si>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</si>
  <si>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</si>
  <si>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</si>
  <si>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</si>
  <si>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</si>
  <si>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</si>
  <si>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</si>
  <si>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</si>
  <si>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</si>
  <si>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</si>
  <si>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</si>
  <si>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</si>
  <si>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</si>
  <si>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</si>
  <si>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</si>
  <si>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</si>
  <si>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</si>
  <si>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</si>
  <si>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</si>
  <si>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</si>
  <si>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</si>
  <si>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</si>
  <si>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</si>
  <si>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</si>
  <si>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</si>
  <si>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</si>
  <si>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</si>
  <si>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</si>
  <si>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</si>
  <si>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</si>
  <si>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</si>
  <si>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</si>
  <si>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</si>
  <si>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</si>
  <si>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</si>
  <si>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</si>
  <si>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</si>
  <si>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</si>
  <si>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</si>
  <si>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</si>
  <si>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</si>
  <si>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</si>
  <si>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</si>
  <si>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</si>
  <si>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</si>
  <si>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</si>
  <si>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</si>
  <si>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</si>
  <si>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</si>
  <si>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</si>
  <si>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</si>
  <si>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</si>
  <si>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</si>
  <si>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</si>
  <si>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</si>
  <si>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</si>
  <si>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</si>
  <si>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</si>
  <si>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</si>
  <si>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</si>
  <si>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</si>
  <si>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</si>
  <si>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</si>
  <si>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</si>
  <si>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</si>
  <si>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</si>
  <si>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</si>
  <si>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</si>
  <si>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</si>
  <si>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</si>
  <si>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</si>
  <si>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</si>
  <si>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</si>
  <si>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</si>
  <si>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</si>
  <si>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</si>
  <si>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</si>
  <si>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</si>
  <si>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</si>
  <si>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</si>
  <si>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</si>
  <si>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</si>
  <si>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</si>
  <si>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</si>
  <si>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</si>
  <si>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</si>
  <si>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</si>
  <si>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</si>
  <si>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</si>
  <si>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</si>
  <si>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</si>
  <si>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</si>
  <si>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</si>
  <si>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</si>
  <si>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</si>
  <si>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</si>
  <si>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</si>
  <si>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</si>
  <si>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</si>
  <si>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</si>
  <si>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</si>
  <si>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</si>
  <si>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</si>
  <si>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</si>
  <si>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</si>
  <si>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</si>
  <si>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</si>
  <si>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</si>
  <si>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</si>
  <si>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</si>
  <si>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</si>
  <si>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</si>
  <si>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</si>
  <si>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</si>
  <si>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</si>
  <si>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</si>
  <si>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</si>
  <si>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</si>
  <si>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</si>
  <si>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</si>
  <si>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</si>
  <si>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</si>
  <si>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</si>
  <si>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</si>
  <si>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</si>
  <si>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</si>
  <si>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</si>
  <si>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</si>
  <si>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</si>
  <si>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</si>
  <si>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</si>
  <si>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</si>
  <si>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</si>
  <si>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</si>
  <si>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</si>
  <si>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</si>
  <si>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</si>
  <si>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</si>
  <si>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</si>
  <si>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</si>
  <si>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</si>
  <si>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</si>
  <si>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</si>
  <si>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</si>
  <si>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</si>
  <si>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</si>
  <si>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</si>
  <si>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</si>
  <si>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</si>
  <si>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</si>
  <si>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</si>
  <si>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</si>
  <si>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</si>
  <si>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</si>
  <si>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</si>
  <si>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</si>
  <si>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</si>
  <si>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</si>
  <si>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</si>
  <si>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</si>
  <si>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</si>
  <si>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</si>
  <si>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</si>
  <si>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</si>
  <si>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</si>
  <si>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</si>
  <si>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</si>
  <si>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</si>
  <si>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</si>
  <si>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</si>
  <si>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</si>
  <si>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</si>
  <si>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</si>
  <si>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</si>
  <si>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</si>
  <si>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</si>
  <si>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</si>
  <si>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</si>
  <si>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</si>
  <si>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</si>
  <si>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</si>
  <si>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</si>
  <si>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</si>
  <si>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</si>
  <si>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</si>
  <si>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</si>
  <si>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</si>
  <si>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</si>
  <si>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</si>
  <si>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</si>
  <si>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</si>
  <si>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</si>
  <si>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</si>
  <si>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</si>
  <si>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</si>
  <si>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</si>
  <si>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</si>
  <si>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</si>
  <si>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</si>
  <si>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</si>
  <si>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</si>
  <si>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</si>
  <si>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</si>
  <si>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</si>
  <si>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</si>
  <si>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</si>
  <si>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</si>
  <si>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</si>
  <si>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</si>
  <si>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</si>
  <si>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</si>
  <si>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</si>
  <si>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</si>
  <si>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</si>
  <si>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</si>
  <si>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</si>
  <si>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</si>
  <si>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</si>
  <si>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</si>
  <si>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</si>
  <si>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</si>
  <si>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</si>
  <si>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</si>
  <si>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</si>
  <si>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</si>
  <si>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</si>
  <si>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</si>
  <si>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</si>
  <si>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</si>
  <si>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</si>
  <si>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</si>
  <si>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</si>
  <si>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</si>
  <si>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</si>
  <si>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</si>
  <si>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</si>
  <si>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</si>
  <si>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</si>
  <si>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</si>
  <si>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</si>
  <si>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</si>
  <si>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</si>
  <si>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</si>
  <si>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</si>
  <si>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</si>
  <si>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</si>
  <si>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</si>
  <si>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</si>
  <si>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</si>
  <si>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</si>
  <si>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</si>
  <si>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</si>
  <si>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</si>
  <si>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</si>
  <si>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</si>
  <si>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</si>
  <si>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</si>
  <si>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</si>
  <si>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</si>
  <si>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</si>
  <si>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</si>
  <si>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</si>
  <si>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</si>
  <si>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</si>
  <si>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</si>
  <si>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</si>
  <si>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</si>
  <si>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</si>
  <si>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</si>
  <si>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</si>
  <si>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</si>
  <si>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</si>
  <si>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</si>
  <si>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</si>
  <si>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</si>
  <si>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</si>
  <si>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</si>
  <si>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</si>
  <si>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</si>
  <si>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</si>
  <si>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</si>
  <si>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</si>
  <si>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</si>
  <si>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</si>
  <si>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</si>
  <si>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</si>
  <si>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</si>
  <si>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</si>
  <si>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</si>
  <si>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</si>
  <si>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</si>
  <si>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</si>
  <si>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</si>
  <si>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</si>
  <si>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</si>
  <si>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</si>
  <si>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</si>
  <si>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</si>
  <si>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</si>
  <si>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</si>
  <si>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</si>
  <si>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</si>
  <si>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</si>
  <si>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</si>
  <si>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</si>
  <si>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</si>
  <si>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</si>
  <si>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</si>
  <si>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</si>
  <si>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</si>
  <si>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</si>
  <si>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</si>
  <si>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</si>
  <si>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</si>
  <si>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</si>
  <si>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</si>
  <si>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</si>
  <si>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</si>
  <si>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</si>
  <si>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</si>
  <si>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</si>
  <si>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</si>
  <si>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</si>
  <si>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</si>
  <si>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</si>
  <si>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</si>
  <si>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</si>
  <si>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</si>
  <si>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</si>
  <si>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</si>
  <si>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</si>
  <si>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</si>
  <si>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</si>
  <si>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</si>
  <si>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</si>
  <si>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</si>
  <si>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</si>
  <si>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</si>
  <si>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</si>
  <si>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</si>
  <si>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</si>
  <si>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</si>
  <si>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</si>
  <si>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</si>
  <si>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</si>
  <si>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</si>
  <si>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</si>
  <si>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</si>
  <si>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</si>
  <si>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</si>
  <si>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</si>
  <si>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</si>
  <si>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</si>
  <si>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</si>
  <si>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</si>
  <si>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</si>
  <si>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</si>
  <si>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</si>
  <si>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</si>
  <si>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</si>
  <si>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</si>
  <si>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</si>
  <si>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</si>
  <si>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</si>
  <si>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</si>
  <si>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</si>
  <si>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</si>
  <si>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</si>
  <si>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</si>
  <si>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</si>
  <si>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</si>
  <si>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</si>
  <si>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</si>
  <si>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</si>
  <si>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</si>
  <si>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</si>
  <si>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</si>
  <si>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</si>
  <si>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</si>
  <si>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</si>
  <si>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</si>
  <si>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</si>
  <si>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</si>
  <si>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</si>
  <si>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</si>
  <si>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</si>
  <si>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</si>
  <si>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</si>
  <si>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</si>
  <si>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</si>
  <si>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</si>
  <si>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</si>
  <si>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</si>
  <si>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</si>
  <si>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</si>
  <si>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</si>
  <si>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</si>
  <si>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</si>
  <si>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</si>
  <si>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</si>
  <si>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</si>
  <si>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</si>
  <si>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</si>
  <si>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</si>
  <si>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</si>
  <si>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</si>
  <si>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</si>
  <si>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</si>
  <si>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</si>
  <si>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</si>
  <si>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</si>
  <si>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</si>
  <si>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</si>
  <si>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</si>
  <si>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</si>
  <si>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</si>
  <si>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</si>
  <si>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</si>
  <si>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</si>
  <si>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</si>
  <si>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</si>
  <si>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</si>
  <si>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</si>
  <si>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</si>
  <si>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</si>
  <si>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</si>
  <si>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</si>
  <si>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</si>
  <si>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</si>
  <si>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</si>
  <si>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</si>
  <si>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</si>
  <si>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</si>
  <si>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</si>
  <si>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</si>
  <si>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</si>
  <si>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</si>
  <si>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</si>
  <si>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</si>
  <si>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</si>
  <si>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</si>
  <si>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</si>
  <si>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</si>
  <si>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</si>
  <si>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</si>
  <si>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</si>
  <si>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</si>
  <si>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</si>
  <si>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</si>
  <si>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</si>
  <si>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</si>
  <si>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</si>
  <si>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</si>
  <si>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</si>
  <si>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</si>
  <si>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</si>
  <si>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</si>
  <si>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</si>
  <si>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</si>
  <si>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</si>
  <si>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</si>
  <si>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</si>
  <si>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</si>
  <si>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</si>
  <si>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</si>
  <si>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</si>
  <si>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</si>
  <si>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</si>
  <si>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</si>
  <si>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</si>
  <si>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</si>
  <si>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</si>
  <si>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</si>
  <si>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</si>
  <si>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</si>
  <si>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</si>
  <si>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</si>
  <si>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</si>
  <si>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</si>
  <si>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</si>
  <si>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</si>
  <si>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</si>
  <si>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</si>
  <si>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</si>
  <si>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</si>
  <si>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</si>
  <si>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</si>
  <si>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</si>
  <si>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</si>
  <si>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</si>
  <si>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</si>
  <si>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</si>
  <si>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</si>
  <si>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</si>
  <si>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</si>
  <si>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</si>
  <si>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</si>
  <si>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</si>
  <si>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</si>
  <si>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</si>
  <si>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</si>
  <si>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</si>
  <si>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</si>
  <si>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</si>
  <si>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</si>
  <si>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</si>
  <si>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</si>
  <si>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</si>
  <si>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</si>
  <si>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</si>
  <si>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</si>
  <si>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</si>
  <si>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</si>
  <si>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</si>
  <si>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</si>
  <si>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</si>
  <si>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</si>
  <si>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</si>
  <si>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</si>
  <si>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</si>
  <si>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</si>
  <si>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</si>
  <si>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</si>
  <si>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</si>
  <si>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</si>
  <si>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</si>
  <si>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</si>
  <si>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</si>
  <si>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</si>
  <si>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</si>
  <si>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</si>
  <si>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</si>
  <si>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</si>
  <si>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</si>
  <si>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</si>
  <si>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</si>
  <si>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</si>
  <si>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</si>
  <si>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</si>
  <si>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</si>
  <si>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</si>
  <si>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</si>
  <si>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</si>
  <si>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</si>
  <si>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</si>
  <si>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</si>
  <si>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</si>
  <si>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</si>
  <si>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</si>
  <si>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</si>
  <si>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</si>
  <si>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</si>
  <si>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</si>
  <si>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</si>
  <si>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</si>
  <si>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</si>
  <si>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</si>
  <si>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</si>
  <si>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</si>
  <si>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</si>
  <si>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</si>
  <si>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</si>
  <si>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</si>
  <si>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</si>
  <si>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</si>
  <si>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</si>
  <si>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</si>
  <si>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</si>
  <si>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</si>
  <si>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</si>
  <si>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</si>
  <si>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</si>
  <si>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</si>
  <si>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</si>
  <si>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</si>
  <si>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</si>
  <si>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</si>
  <si>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</si>
  <si>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</si>
  <si>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</si>
  <si>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</si>
  <si>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</si>
  <si>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</si>
  <si>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</si>
  <si>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</si>
  <si>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</si>
  <si>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</si>
  <si>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</si>
  <si>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</si>
  <si>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</si>
  <si>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</si>
  <si>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</si>
  <si>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</si>
  <si>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</si>
  <si>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</si>
  <si>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</si>
  <si>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</si>
  <si>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</si>
  <si>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</si>
  <si>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</si>
  <si>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</si>
  <si>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</si>
  <si>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</si>
  <si>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</si>
  <si>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</si>
  <si>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</si>
  <si>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</si>
  <si>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</si>
  <si>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</si>
  <si>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</si>
  <si>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</si>
  <si>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</si>
  <si>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</si>
  <si>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</si>
  <si>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</si>
  <si>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</si>
  <si>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</si>
  <si>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</si>
  <si>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</si>
  <si>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</si>
  <si>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</si>
  <si>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</si>
  <si>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</si>
  <si>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</si>
  <si>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</si>
  <si>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</si>
  <si>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</si>
  <si>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</si>
  <si>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</si>
  <si>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</si>
  <si>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</si>
  <si>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</si>
  <si>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</si>
  <si>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</si>
  <si>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</si>
  <si>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</si>
  <si>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</si>
  <si>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</si>
  <si>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</si>
  <si>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</si>
  <si>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</si>
  <si>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</si>
  <si>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</si>
  <si>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</si>
  <si>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</si>
  <si>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</si>
  <si>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</si>
  <si>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</si>
  <si>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</si>
  <si>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</si>
  <si>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</si>
  <si>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</si>
  <si>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</si>
  <si>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</si>
  <si>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</si>
  <si>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</si>
  <si>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</si>
  <si>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</si>
  <si>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</si>
  <si>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</si>
  <si>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</si>
  <si>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</si>
  <si>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</si>
  <si>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</si>
  <si>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</si>
  <si>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</si>
  <si>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</si>
  <si>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</si>
  <si>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</si>
  <si>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</si>
  <si>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</si>
  <si>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</si>
  <si>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</si>
  <si>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</si>
  <si>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</si>
  <si>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</si>
  <si>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</si>
  <si>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</si>
  <si>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</si>
  <si>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</si>
  <si>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</si>
  <si>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</si>
  <si>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</si>
  <si>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</si>
  <si>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</si>
  <si>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</si>
  <si>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</si>
  <si>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</si>
  <si>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</si>
  <si>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</si>
  <si>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</si>
  <si>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</si>
  <si>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</si>
  <si>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</si>
  <si>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</si>
  <si>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</si>
  <si>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</si>
  <si>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</si>
  <si>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</si>
  <si>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</si>
  <si>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</si>
  <si>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</si>
  <si>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</si>
  <si>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</si>
  <si>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</si>
  <si>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</si>
  <si>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</si>
  <si>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</si>
  <si>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</si>
  <si>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</si>
  <si>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</si>
  <si>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</si>
  <si>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</si>
  <si>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</si>
  <si>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</si>
  <si>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</si>
  <si>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</si>
  <si>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</si>
  <si>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</si>
  <si>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</si>
  <si>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</si>
  <si>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</si>
  <si>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</si>
  <si>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</si>
  <si>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</si>
  <si>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</si>
  <si>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</si>
  <si>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</si>
  <si>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</si>
  <si>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</si>
  <si>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</si>
  <si>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</si>
  <si>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</si>
  <si>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</si>
  <si>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</si>
  <si>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</si>
  <si>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</si>
  <si>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</si>
  <si>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</si>
  <si>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</si>
  <si>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</si>
  <si>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</si>
  <si>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</si>
  <si>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</si>
  <si>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</si>
  <si>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</si>
  <si>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</si>
  <si>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</si>
  <si>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</si>
  <si>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</si>
  <si>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</si>
  <si>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</si>
  <si>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</si>
  <si>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</si>
  <si>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</si>
  <si>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</si>
  <si>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</si>
  <si>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</si>
  <si>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</si>
  <si>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</si>
  <si>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</si>
  <si>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</si>
  <si>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</si>
  <si>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</si>
  <si>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</si>
  <si>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</si>
  <si>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</si>
  <si>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</si>
  <si>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</si>
  <si>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</si>
  <si>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</si>
  <si>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</si>
  <si>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</si>
  <si>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</si>
  <si>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</si>
  <si>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</si>
  <si>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</si>
  <si>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</si>
  <si>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</si>
  <si>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</si>
  <si>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</si>
  <si>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</si>
  <si>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</si>
  <si>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</si>
  <si>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</si>
  <si>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</si>
  <si>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</si>
  <si>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</si>
  <si>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</si>
  <si>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</si>
  <si>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</si>
  <si>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</si>
  <si>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</si>
  <si>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</si>
  <si>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</si>
  <si>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</si>
  <si>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</si>
  <si>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</si>
  <si>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</si>
  <si>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</si>
  <si>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</si>
  <si>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</si>
  <si>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</si>
  <si>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</si>
  <si>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</si>
  <si>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</si>
  <si>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</si>
  <si>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</si>
  <si>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</si>
  <si>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</si>
  <si>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</si>
  <si>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</si>
  <si>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</si>
  <si>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</si>
  <si>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</si>
  <si>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</si>
  <si>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</si>
  <si>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</si>
  <si>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</si>
  <si>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</si>
  <si>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</si>
  <si>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</si>
  <si>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</si>
  <si>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</si>
  <si>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</si>
  <si>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</si>
  <si>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</si>
  <si>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</si>
  <si>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</si>
  <si>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</si>
  <si>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</si>
  <si>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</si>
  <si>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</si>
  <si>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</si>
  <si>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</si>
  <si>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</si>
  <si>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</si>
  <si>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</si>
  <si>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</si>
  <si>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</si>
  <si>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</si>
  <si>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</si>
  <si>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</si>
  <si>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</si>
  <si>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</si>
  <si>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</si>
  <si>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</si>
  <si>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</si>
  <si>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</si>
  <si>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</si>
  <si>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</si>
  <si>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</si>
  <si>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</si>
  <si>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</si>
  <si>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</si>
  <si>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</si>
  <si>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</si>
  <si>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</si>
  <si>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</si>
  <si>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</si>
  <si>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</si>
  <si>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</si>
  <si>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</si>
  <si>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</si>
  <si>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</si>
  <si>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</si>
  <si>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</si>
  <si>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</si>
  <si>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</si>
  <si>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</si>
  <si>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</si>
  <si>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</si>
  <si>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</si>
  <si>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</si>
  <si>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</si>
  <si>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</si>
  <si>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</si>
  <si>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</si>
  <si>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</si>
  <si>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</si>
  <si>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</si>
  <si>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</si>
  <si>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</si>
  <si>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</si>
  <si>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</si>
  <si>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</si>
  <si>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</si>
  <si>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</si>
  <si>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</si>
  <si>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</si>
  <si>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</si>
  <si>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</si>
  <si>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</si>
  <si>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</si>
  <si>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</si>
  <si>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</si>
  <si>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</si>
  <si>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</si>
  <si>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</si>
  <si>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</si>
  <si>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</si>
  <si>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</si>
  <si>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</si>
  <si>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</si>
  <si>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</si>
  <si>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</si>
  <si>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</si>
  <si>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</si>
  <si>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</si>
  <si>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</si>
  <si>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</si>
  <si>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</si>
  <si>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</si>
  <si>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</si>
  <si>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</si>
  <si>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</si>
  <si>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</si>
  <si>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</si>
  <si>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</si>
  <si>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</si>
  <si>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</si>
  <si>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</si>
  <si>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</si>
  <si>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</si>
  <si>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</si>
  <si>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</si>
  <si>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</si>
  <si>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</si>
  <si>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</si>
  <si>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</si>
  <si>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</si>
  <si>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</si>
  <si>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</si>
  <si>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</si>
  <si>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</si>
  <si>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</si>
  <si>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</si>
  <si>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</si>
  <si>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</si>
  <si>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</si>
  <si>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</si>
  <si>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</si>
  <si>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</si>
  <si>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</si>
  <si>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</si>
  <si>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</si>
  <si>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</si>
  <si>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</si>
  <si>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</si>
  <si>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</si>
  <si>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</si>
  <si>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</si>
  <si>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</si>
  <si>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</si>
  <si>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</si>
  <si>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</si>
  <si>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</si>
  <si>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</si>
  <si>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</si>
  <si>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</si>
  <si>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</si>
  <si>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</si>
  <si>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</si>
  <si>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</si>
  <si>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</si>
  <si>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</si>
  <si>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</si>
  <si>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</si>
  <si>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</si>
  <si>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</si>
  <si>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</si>
  <si>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</si>
  <si>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</si>
  <si>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</si>
  <si>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</si>
  <si>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</si>
  <si>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</si>
  <si>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</si>
  <si>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</si>
  <si>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</si>
  <si>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</si>
  <si>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</si>
  <si>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</si>
  <si>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</si>
  <si>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</si>
  <si>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</si>
  <si>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</si>
  <si>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</si>
  <si>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</si>
  <si>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</si>
  <si>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</si>
  <si>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</si>
  <si>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</si>
  <si>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</si>
  <si>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</si>
  <si>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</si>
  <si>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</si>
  <si>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</si>
  <si>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</si>
  <si>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</si>
  <si>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</si>
  <si>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</si>
  <si>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</si>
  <si>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</si>
  <si>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</si>
  <si>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</si>
  <si>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</si>
  <si>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</si>
  <si>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</si>
  <si>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</si>
  <si>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</si>
  <si>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</si>
  <si>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</si>
  <si>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</si>
  <si>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</si>
  <si>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</si>
  <si>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</si>
  <si>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</si>
  <si>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</si>
  <si>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</si>
  <si>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</si>
  <si>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</si>
  <si>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</si>
  <si>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</si>
  <si>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</si>
  <si>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</si>
  <si>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</si>
  <si>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</si>
  <si>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</si>
  <si>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</si>
  <si>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</si>
  <si>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</si>
  <si>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</si>
  <si>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</si>
  <si>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</si>
  <si>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</si>
  <si>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</si>
  <si>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</si>
  <si>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</si>
  <si>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</si>
  <si>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</si>
  <si>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</si>
  <si>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</si>
  <si>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</si>
  <si>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</si>
  <si>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</si>
  <si>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</si>
  <si>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</si>
  <si>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</si>
  <si>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</si>
  <si>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</si>
  <si>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</si>
  <si>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</si>
  <si>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</si>
  <si>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</si>
  <si>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</si>
  <si>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</si>
  <si>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</si>
  <si>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</si>
  <si>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</si>
  <si>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</si>
  <si>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</si>
  <si>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</si>
  <si>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</si>
  <si>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</si>
  <si>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</si>
  <si>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</si>
  <si>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</si>
  <si>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</si>
  <si>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</si>
  <si>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</si>
  <si>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</si>
  <si>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</si>
  <si>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</si>
  <si>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</si>
  <si>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</si>
  <si>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</si>
  <si>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</si>
  <si>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</si>
  <si>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</si>
  <si>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</si>
  <si>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</si>
  <si>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</si>
  <si>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</si>
  <si>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</si>
  <si>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</si>
  <si>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</si>
  <si>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</si>
  <si>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</si>
  <si>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</si>
  <si>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</si>
  <si>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</si>
  <si>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</si>
  <si>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</si>
  <si>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</si>
  <si>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</si>
  <si>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</si>
  <si>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</si>
  <si>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</si>
  <si>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</si>
  <si>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</si>
  <si>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</si>
  <si>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</si>
  <si>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</si>
  <si>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</si>
  <si>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</si>
  <si>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</si>
  <si>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</si>
  <si>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</si>
  <si>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</si>
  <si>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</si>
  <si>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</si>
  <si>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</si>
  <si>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</si>
  <si>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</si>
  <si>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</si>
  <si>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</si>
  <si>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</si>
  <si>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</si>
  <si>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</si>
  <si>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</si>
  <si>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</si>
  <si>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</si>
  <si>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</si>
  <si>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</si>
  <si>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</si>
  <si>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</si>
  <si>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</si>
  <si>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</si>
  <si>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</si>
  <si>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</si>
  <si>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</si>
  <si>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</si>
  <si>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</si>
  <si>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</si>
  <si>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</si>
  <si>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</si>
  <si>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</si>
  <si>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</si>
  <si>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</si>
  <si>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</si>
  <si>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</si>
  <si>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</si>
  <si>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</si>
  <si>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</si>
  <si>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</si>
  <si>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</si>
  <si>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</si>
  <si>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</si>
  <si>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</si>
  <si>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</si>
  <si>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</si>
  <si>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</si>
  <si>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</si>
  <si>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</si>
  <si>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</si>
  <si>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</si>
  <si>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</si>
  <si>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</si>
  <si>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</si>
  <si>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</si>
  <si>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</si>
  <si>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</si>
  <si>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</si>
  <si>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</si>
  <si>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</si>
  <si>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</si>
  <si>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</si>
  <si>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</si>
  <si>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</si>
  <si>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</si>
  <si>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</si>
  <si>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</si>
  <si>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</si>
  <si>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</si>
  <si>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</si>
  <si>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</si>
  <si>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</si>
  <si>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</si>
  <si>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</si>
  <si>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</si>
  <si>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</si>
  <si>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</si>
  <si>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</si>
  <si>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</si>
  <si>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</si>
  <si>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</si>
  <si>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</si>
  <si>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</si>
  <si>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</si>
  <si>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</si>
  <si>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</si>
  <si>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</si>
  <si>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</si>
  <si>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</si>
  <si>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</si>
  <si>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</si>
  <si>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</si>
  <si>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</si>
  <si>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</si>
  <si>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</si>
  <si>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</si>
  <si>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</si>
  <si>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</si>
  <si>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</si>
  <si>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</si>
  <si>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</si>
  <si>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</si>
  <si>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</si>
  <si>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</si>
  <si>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</si>
  <si>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</si>
  <si>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</si>
  <si>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</si>
  <si>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</si>
  <si>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</si>
  <si>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</si>
  <si>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</si>
  <si>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</si>
  <si>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</si>
  <si>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</si>
  <si>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</si>
  <si>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</si>
  <si>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</si>
  <si>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</si>
  <si>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</si>
  <si>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</si>
  <si>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</si>
  <si>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</si>
  <si>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</si>
  <si>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</si>
  <si>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</si>
  <si>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</si>
  <si>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</si>
  <si>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</si>
  <si>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</si>
  <si>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</si>
  <si>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</si>
  <si>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</si>
  <si>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</si>
  <si>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</si>
  <si>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</si>
  <si>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</si>
  <si>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</si>
  <si>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</si>
  <si>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</si>
  <si>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</si>
  <si>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</si>
  <si>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</si>
  <si>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</si>
  <si>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</si>
  <si>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</si>
  <si>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</si>
  <si>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</si>
  <si>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</si>
  <si>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</si>
  <si>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</si>
  <si>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</si>
  <si>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</si>
  <si>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</si>
  <si>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</si>
  <si>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</si>
  <si>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</si>
  <si>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</si>
  <si>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</si>
  <si>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</si>
  <si>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</si>
  <si>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</si>
  <si>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</si>
  <si>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</si>
  <si>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</si>
  <si>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</si>
  <si>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</si>
  <si>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</si>
  <si>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</si>
  <si>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</si>
  <si>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</si>
  <si>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</si>
  <si>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</si>
  <si>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</si>
  <si>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</si>
  <si>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</si>
  <si>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</si>
  <si>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</si>
  <si>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</si>
  <si>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</si>
  <si>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</si>
  <si>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</si>
  <si>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</si>
  <si>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</si>
  <si>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</si>
  <si>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</si>
  <si>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</si>
  <si>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</si>
  <si>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</si>
  <si>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</si>
  <si>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</si>
  <si>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</si>
  <si>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</si>
  <si>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</si>
  <si>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</si>
  <si>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</si>
  <si>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</si>
  <si>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</si>
  <si>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</si>
  <si>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</si>
  <si>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</si>
  <si>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</si>
  <si>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</si>
  <si>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</si>
  <si>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</si>
  <si>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</si>
  <si>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</si>
  <si>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</si>
  <si>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</si>
  <si>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</si>
  <si>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</si>
  <si>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</si>
  <si>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</si>
  <si>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</si>
  <si>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</si>
  <si>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</si>
  <si>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</si>
  <si>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</si>
  <si>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</si>
  <si>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</si>
  <si>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</si>
  <si>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</si>
  <si>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</si>
  <si>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</si>
  <si>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</si>
  <si>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</si>
  <si>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</si>
  <si>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</si>
  <si>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</si>
  <si>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</si>
  <si>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</si>
  <si>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</si>
  <si>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</si>
  <si>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</si>
  <si>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</si>
  <si>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</si>
  <si>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</si>
  <si>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</si>
  <si>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</si>
  <si>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</si>
  <si>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</si>
  <si>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</si>
  <si>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</si>
  <si>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</si>
  <si>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</si>
  <si>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</si>
  <si>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</si>
  <si>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</si>
  <si>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</si>
  <si>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</si>
  <si>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</si>
  <si>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</si>
  <si>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</si>
  <si>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</si>
  <si>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</si>
  <si>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</si>
  <si>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</si>
  <si>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</si>
  <si>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</si>
  <si>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</si>
  <si>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</si>
  <si>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</si>
  <si>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</si>
  <si>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</si>
  <si>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</si>
  <si>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</si>
  <si>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</si>
  <si>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</si>
  <si>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</si>
  <si>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</si>
  <si>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</si>
  <si>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</si>
  <si>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</si>
  <si>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</si>
  <si>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</si>
  <si>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</si>
  <si>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</si>
  <si>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</si>
  <si>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</si>
  <si>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</si>
  <si>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</si>
  <si>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</si>
  <si>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</si>
  <si>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</si>
  <si>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</si>
  <si>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</si>
  <si>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</si>
  <si>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</si>
  <si>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</si>
  <si>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</si>
  <si>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</si>
  <si>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</si>
  <si>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</si>
  <si>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</si>
  <si>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</si>
  <si>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</si>
  <si>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</si>
  <si>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</si>
  <si>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</si>
  <si>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</si>
  <si>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</si>
  <si>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</si>
  <si>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</si>
  <si>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</si>
  <si>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</si>
  <si>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</si>
  <si>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</si>
  <si>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</si>
  <si>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</si>
  <si>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</si>
  <si>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</si>
  <si>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</si>
  <si>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</si>
  <si>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</si>
  <si>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</si>
  <si>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</si>
  <si>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</si>
  <si>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</si>
  <si>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</si>
  <si>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</si>
  <si>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</si>
  <si>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</si>
  <si>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</si>
  <si>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</si>
  <si>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</si>
  <si>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</si>
  <si>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</si>
  <si>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</si>
  <si>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</si>
  <si>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</si>
  <si>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</si>
  <si>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</si>
  <si>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</si>
  <si>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</si>
  <si>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</si>
  <si>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</si>
  <si>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</si>
  <si>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</si>
  <si>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</si>
  <si>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</si>
  <si>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</si>
  <si>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</si>
  <si>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</si>
  <si>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</si>
  <si>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</si>
  <si>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</si>
  <si>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</si>
  <si>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</si>
  <si>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</si>
  <si>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</si>
  <si>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</si>
  <si>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</si>
  <si>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</si>
  <si>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</si>
  <si>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</si>
  <si>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</si>
  <si>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</si>
  <si>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</si>
  <si>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</si>
  <si>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</si>
  <si>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</si>
  <si>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</si>
  <si>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</si>
  <si>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</si>
  <si>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</si>
  <si>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</si>
  <si>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</si>
  <si>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</si>
  <si>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</si>
  <si>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</si>
  <si>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</si>
  <si>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</si>
  <si>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</si>
  <si>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</si>
  <si>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</si>
  <si>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</si>
  <si>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</si>
  <si>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</si>
  <si>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</si>
  <si>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</si>
  <si>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</si>
  <si>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</si>
  <si>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</si>
  <si>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</si>
  <si>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</si>
  <si>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</si>
  <si>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</si>
  <si>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</si>
  <si>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</si>
  <si>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</si>
  <si>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</si>
  <si>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</si>
  <si>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</si>
  <si>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</si>
  <si>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</si>
  <si>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</si>
  <si>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</si>
  <si>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</si>
  <si>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</si>
  <si>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</si>
  <si>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</si>
  <si>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</si>
  <si>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</si>
  <si>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</si>
  <si>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</si>
  <si>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</si>
  <si>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</si>
  <si>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</si>
  <si>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</si>
  <si>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</si>
  <si>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</si>
  <si>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</si>
  <si>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</si>
  <si>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</si>
  <si>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</si>
  <si>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</si>
  <si>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</si>
  <si>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</si>
  <si>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</si>
  <si>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</si>
  <si>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</si>
  <si>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</si>
  <si>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</si>
  <si>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</si>
  <si>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</si>
  <si>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</si>
  <si>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</si>
  <si>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</si>
  <si>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</si>
  <si>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</si>
  <si>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</si>
  <si>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</si>
  <si>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</si>
  <si>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</si>
  <si>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</si>
  <si>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</si>
  <si>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</si>
  <si>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</si>
  <si>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</si>
  <si>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</si>
  <si>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</si>
  <si>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</si>
  <si>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</si>
  <si>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</si>
  <si>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</si>
  <si>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</si>
  <si>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</si>
  <si>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</si>
  <si>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</si>
  <si>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</si>
  <si>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</si>
  <si>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</si>
  <si>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</si>
  <si>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</si>
  <si>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</si>
  <si>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</si>
  <si>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</si>
  <si>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</si>
  <si>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</si>
  <si>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</si>
  <si>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</si>
  <si>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</si>
  <si>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</si>
  <si>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</si>
  <si>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</si>
  <si>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</si>
  <si>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</si>
  <si>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</si>
  <si>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</si>
  <si>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</si>
  <si>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</si>
  <si>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</si>
  <si>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</si>
  <si>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</si>
  <si>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</si>
  <si>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</si>
  <si>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</si>
  <si>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</si>
  <si>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</si>
  <si>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</si>
  <si>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</si>
  <si>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</si>
  <si>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</si>
  <si>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</si>
  <si>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</si>
  <si>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</si>
  <si>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</si>
  <si>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</si>
  <si>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</si>
  <si>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</si>
  <si>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</si>
  <si>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</si>
  <si>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</si>
  <si>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</si>
  <si>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</si>
  <si>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</si>
  <si>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</si>
  <si>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</si>
  <si>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</si>
  <si>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</si>
  <si>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</si>
  <si>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</si>
  <si>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</si>
  <si>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</si>
  <si>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</si>
  <si>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</si>
  <si>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</si>
  <si>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</si>
  <si>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</si>
  <si>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</si>
  <si>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</si>
  <si>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</si>
  <si>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</si>
  <si>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</si>
  <si>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</si>
  <si>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</si>
  <si>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</si>
  <si>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</si>
  <si>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</si>
  <si>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</si>
  <si>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</si>
  <si>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</si>
  <si>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</si>
  <si>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</si>
  <si>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</si>
  <si>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</si>
  <si>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</si>
  <si>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</si>
  <si>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</si>
  <si>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</si>
  <si>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</si>
  <si>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</si>
  <si>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</si>
  <si>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</si>
  <si>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</si>
  <si>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</si>
  <si>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</si>
  <si>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</si>
  <si>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</si>
  <si>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</si>
  <si>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</si>
  <si>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</si>
  <si>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</si>
  <si>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</si>
  <si>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</si>
  <si>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</si>
  <si>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</si>
  <si>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</si>
  <si>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</si>
  <si>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</si>
  <si>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</si>
  <si>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</si>
  <si>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</si>
  <si>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</si>
  <si>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</si>
  <si>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</si>
  <si>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</si>
  <si>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</si>
  <si>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</si>
  <si>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</si>
  <si>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</si>
  <si>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</si>
  <si>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</si>
  <si>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</si>
  <si>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</si>
  <si>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</si>
  <si>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</si>
  <si>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</si>
  <si>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</si>
  <si>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</si>
  <si>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</si>
  <si>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</si>
  <si>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</si>
  <si>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</si>
  <si>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</si>
  <si>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</si>
  <si>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</si>
  <si>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</si>
  <si>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</si>
  <si>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</si>
  <si>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</si>
  <si>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</si>
  <si>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</si>
  <si>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</si>
  <si>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</si>
  <si>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</si>
  <si>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</si>
  <si>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</si>
  <si>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</si>
  <si>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</si>
  <si>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</si>
  <si>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</si>
  <si>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</si>
  <si>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</si>
  <si>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</si>
  <si>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</si>
  <si>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</si>
  <si>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</si>
  <si>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</si>
  <si>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</si>
  <si>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</si>
  <si>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</si>
  <si>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</si>
  <si>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</si>
  <si>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</si>
  <si>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</si>
  <si>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</si>
  <si>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</si>
  <si>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</si>
  <si>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</si>
  <si>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</si>
  <si>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</si>
  <si>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</si>
  <si>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</si>
  <si>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</si>
  <si>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</si>
  <si>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</si>
  <si>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</si>
  <si>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</si>
  <si>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</si>
  <si>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</si>
  <si>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</si>
  <si>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</si>
  <si>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</si>
  <si>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</si>
  <si>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</si>
  <si>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</si>
  <si>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</si>
  <si>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</si>
  <si>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</si>
  <si>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</si>
  <si>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</si>
  <si>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</si>
  <si>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</si>
  <si>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</si>
  <si>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</si>
  <si>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</si>
  <si>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</si>
  <si>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</si>
  <si>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</si>
  <si>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</si>
  <si>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</si>
  <si>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</si>
  <si>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</si>
  <si>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</si>
  <si>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</si>
  <si>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</si>
  <si>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</si>
  <si>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</si>
  <si>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</si>
  <si>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</si>
  <si>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</si>
  <si>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</si>
  <si>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</si>
  <si>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</si>
  <si>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</si>
  <si>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</si>
  <si>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</si>
  <si>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</si>
  <si>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</si>
  <si>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</si>
  <si>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</si>
  <si>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</si>
  <si>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</si>
  <si>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</si>
  <si>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</si>
  <si>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</si>
  <si>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</si>
  <si>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</si>
  <si>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</si>
  <si>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</si>
  <si>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</si>
  <si>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</si>
  <si>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</si>
  <si>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</si>
  <si>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</si>
  <si>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</si>
  <si>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</si>
  <si>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</si>
  <si>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</si>
  <si>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</si>
  <si>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</si>
  <si>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</si>
  <si>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</si>
  <si>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</si>
  <si>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</si>
  <si>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</si>
  <si>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</si>
  <si>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</si>
  <si>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</si>
  <si>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</si>
  <si>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</si>
  <si>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</si>
  <si>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</si>
  <si>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</si>
  <si>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</si>
  <si>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</si>
  <si>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</si>
  <si>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</si>
  <si>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</si>
  <si>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</si>
  <si>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</si>
  <si>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</si>
  <si>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</si>
  <si>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</si>
  <si>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</si>
  <si>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</si>
  <si>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</si>
  <si>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</si>
  <si>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</si>
  <si>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</si>
  <si>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</si>
  <si>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</si>
  <si>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</si>
  <si>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</si>
  <si>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</si>
  <si>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</si>
  <si>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</si>
  <si>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</si>
  <si>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</si>
  <si>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</si>
  <si>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</si>
  <si>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</si>
  <si>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</si>
  <si>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</si>
  <si>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</si>
  <si>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</si>
  <si>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</si>
  <si>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</si>
  <si>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</si>
  <si>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</si>
  <si>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</si>
  <si>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</si>
  <si>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</si>
  <si>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</si>
  <si>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</si>
  <si>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</si>
  <si>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</si>
  <si>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</si>
  <si>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</si>
  <si>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</si>
  <si>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</si>
  <si>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</si>
  <si>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</si>
  <si>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</si>
  <si>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</si>
  <si>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</si>
  <si>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</si>
  <si>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</si>
  <si>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</si>
  <si>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</si>
  <si>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</si>
  <si>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</si>
  <si>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</si>
  <si>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</si>
  <si>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</si>
  <si>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</si>
  <si>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</si>
  <si>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</si>
  <si>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</si>
  <si>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</si>
  <si>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</si>
  <si>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</si>
  <si>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</si>
  <si>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</si>
  <si>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</si>
  <si>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</si>
  <si>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</si>
  <si>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</si>
  <si>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</si>
  <si>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</si>
  <si>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</si>
  <si>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</si>
  <si>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</si>
  <si>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</si>
  <si>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</si>
  <si>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</si>
  <si>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</si>
  <si>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</si>
  <si>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</si>
  <si>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</si>
  <si>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</si>
  <si>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</si>
  <si>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</si>
  <si>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</si>
  <si>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</si>
  <si>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</si>
  <si>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</si>
  <si>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</si>
  <si>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</si>
  <si>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</si>
  <si>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</si>
  <si>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</si>
  <si>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</si>
  <si>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</si>
  <si>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</si>
  <si>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</si>
  <si>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</si>
  <si>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</si>
  <si>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</si>
  <si>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</si>
  <si>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</si>
  <si>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</si>
  <si>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</si>
  <si>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</si>
  <si>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</si>
  <si>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</si>
  <si>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</si>
  <si>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</si>
  <si>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</si>
  <si>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</si>
  <si>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</si>
  <si>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</si>
  <si>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</si>
  <si>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</si>
  <si>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</si>
  <si>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</si>
  <si>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</si>
  <si>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</si>
  <si>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</si>
  <si>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</si>
  <si>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</si>
  <si>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</si>
  <si>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</si>
  <si>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</si>
  <si>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</si>
  <si>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</si>
  <si>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</si>
  <si>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</si>
  <si>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</si>
  <si>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</si>
  <si>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</si>
  <si>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</si>
  <si>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</si>
  <si>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</si>
  <si>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</si>
  <si>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</si>
  <si>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</si>
  <si>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</si>
  <si>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</si>
  <si>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</si>
  <si>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</si>
  <si>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</si>
  <si>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</si>
  <si>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</si>
  <si>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</si>
  <si>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</si>
  <si>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</si>
  <si>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</si>
  <si>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</si>
  <si>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</si>
  <si>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</si>
  <si>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</si>
  <si>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</si>
  <si>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</si>
  <si>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</si>
  <si>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</si>
  <si>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</si>
  <si>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</si>
  <si>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</si>
  <si>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</si>
  <si>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</si>
  <si>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</si>
  <si>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</si>
  <si>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</si>
  <si>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</si>
  <si>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</si>
  <si>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</si>
  <si>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</si>
  <si>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</si>
  <si>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</si>
  <si>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</si>
  <si>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</si>
  <si>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</si>
  <si>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</si>
  <si>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</si>
  <si>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</si>
  <si>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</si>
  <si>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</si>
  <si>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</si>
  <si>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</si>
  <si>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</si>
  <si>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</si>
  <si>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</si>
  <si>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</si>
  <si>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</si>
  <si>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</si>
  <si>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</si>
  <si>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</si>
  <si>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</si>
  <si>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</si>
  <si>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</si>
  <si>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</si>
  <si>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</si>
  <si>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</si>
  <si>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</si>
  <si>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</si>
  <si>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</si>
  <si>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</si>
  <si>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</si>
  <si>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</si>
  <si>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</si>
  <si>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</si>
  <si>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</si>
  <si>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</si>
  <si>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</si>
  <si>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</si>
  <si>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</si>
  <si>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</si>
  <si>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</si>
  <si>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</si>
  <si>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</si>
  <si>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</si>
  <si>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</si>
  <si>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</si>
  <si>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</si>
  <si>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</si>
  <si>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</si>
  <si>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</si>
  <si>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</si>
  <si>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</si>
  <si>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</si>
  <si>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</si>
  <si>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</si>
  <si>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</si>
  <si>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</si>
  <si>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</si>
  <si>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</si>
  <si>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</si>
  <si>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</si>
  <si>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</si>
  <si>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</si>
  <si>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</si>
  <si>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</si>
  <si>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</si>
  <si>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</si>
  <si>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</si>
  <si>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</si>
  <si>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</si>
  <si>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</si>
  <si>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</si>
  <si>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</si>
  <si>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</si>
  <si>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</si>
  <si>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</si>
  <si>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</si>
  <si>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</si>
  <si>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</si>
  <si>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</si>
  <si>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</si>
  <si>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</si>
  <si>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</si>
  <si>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</si>
  <si>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</si>
  <si>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</si>
  <si>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</si>
  <si>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</si>
  <si>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</si>
  <si>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</si>
  <si>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</si>
  <si>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</si>
  <si>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</si>
  <si>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</si>
  <si>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</si>
  <si>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</si>
  <si>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</si>
  <si>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</si>
  <si>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</si>
  <si>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</si>
  <si>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</si>
  <si>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</si>
  <si>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</si>
  <si>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</si>
  <si>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</si>
  <si>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</si>
  <si>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</si>
  <si>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</si>
  <si>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</si>
  <si>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</si>
  <si>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</si>
  <si>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</si>
  <si>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</si>
  <si>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</si>
  <si>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</si>
  <si>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</si>
  <si>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</si>
  <si>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</si>
  <si>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</si>
  <si>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</si>
  <si>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</si>
  <si>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</si>
  <si>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</si>
  <si>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</si>
  <si>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</si>
  <si>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</si>
  <si>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</si>
  <si>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</si>
  <si>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</si>
  <si>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</si>
  <si>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</si>
  <si>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</si>
  <si>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</si>
  <si>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</si>
  <si>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</si>
  <si>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</si>
  <si>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</si>
  <si>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</si>
  <si>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</si>
  <si>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</si>
  <si>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</si>
  <si>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</si>
  <si>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</si>
  <si>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</si>
  <si>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</si>
  <si>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</si>
  <si>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</si>
  <si>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</si>
  <si>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</si>
  <si>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</si>
  <si>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</si>
  <si>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</si>
  <si>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</si>
  <si>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</si>
  <si>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</si>
  <si>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</si>
  <si>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</si>
  <si>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</si>
  <si>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</si>
  <si>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</si>
  <si>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</si>
  <si>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</si>
  <si>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</si>
  <si>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</si>
  <si>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</si>
  <si>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</si>
  <si>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</si>
  <si>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</si>
  <si>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</si>
  <si>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</si>
  <si>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</si>
  <si>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</si>
  <si>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</si>
  <si>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</si>
  <si>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</si>
  <si>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</si>
  <si>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</si>
  <si>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</si>
  <si>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</si>
  <si>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</si>
  <si>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</si>
  <si>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</si>
  <si>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</si>
  <si>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</si>
  <si>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</si>
  <si>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</si>
  <si>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</si>
  <si>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</si>
  <si>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</si>
  <si>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</si>
  <si>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</si>
  <si>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</si>
  <si>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</si>
  <si>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</si>
  <si>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</si>
  <si>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</si>
  <si>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</si>
  <si>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</si>
  <si>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</si>
  <si>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</si>
  <si>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</si>
  <si>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</si>
  <si>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</si>
  <si>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</si>
  <si>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</si>
  <si>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</si>
  <si>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</si>
  <si>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</si>
  <si>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</si>
  <si>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</si>
  <si>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</si>
  <si>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</si>
  <si>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</si>
  <si>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</si>
  <si>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</si>
  <si>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</si>
  <si>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</si>
  <si>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</si>
  <si>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</si>
  <si>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</si>
  <si>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</si>
  <si>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</si>
  <si>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</si>
  <si>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</si>
  <si>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</si>
  <si>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</si>
  <si>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</si>
  <si>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</si>
  <si>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</si>
  <si>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</si>
  <si>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</si>
  <si>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</si>
  <si>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</si>
  <si>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</si>
  <si>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</si>
  <si>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</si>
  <si>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</si>
  <si>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</si>
  <si>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</si>
  <si>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</si>
  <si>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</si>
  <si>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</si>
  <si>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</si>
  <si>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</si>
  <si>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</si>
  <si>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</si>
  <si>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</si>
  <si>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</si>
  <si>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</si>
  <si>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</si>
  <si>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</si>
  <si>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</si>
  <si>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</si>
  <si>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</si>
  <si>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</si>
  <si>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</si>
  <si>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</si>
  <si>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</si>
  <si>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</si>
  <si>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</si>
  <si>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</si>
  <si>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</si>
  <si>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</si>
  <si>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</si>
  <si>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</si>
  <si>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</si>
  <si>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</si>
  <si>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</si>
  <si>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</si>
  <si>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</si>
  <si>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</si>
  <si>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</si>
  <si>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</si>
  <si>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</si>
  <si>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</si>
  <si>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</si>
  <si>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</si>
  <si>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</si>
  <si>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</si>
  <si>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</si>
  <si>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</si>
  <si>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</si>
  <si>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</si>
  <si>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</si>
  <si>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</si>
  <si>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</si>
  <si>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</si>
  <si>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</si>
  <si>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</si>
  <si>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</si>
  <si>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</si>
  <si>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</si>
  <si>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</si>
  <si>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</si>
  <si>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</si>
  <si>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</si>
  <si>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</si>
  <si>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</si>
  <si>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</si>
  <si>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</si>
  <si>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</si>
  <si>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</si>
  <si>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</si>
  <si>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</si>
  <si>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</si>
  <si>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</si>
  <si>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</si>
  <si>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</si>
  <si>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</si>
  <si>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</si>
  <si>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</si>
  <si>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</si>
  <si>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</si>
  <si>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</si>
  <si>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</si>
  <si>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</si>
  <si>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</si>
  <si>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</si>
  <si>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</si>
  <si>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</si>
  <si>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</si>
  <si>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</si>
  <si>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</si>
  <si>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</si>
  <si>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</si>
  <si>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</si>
  <si>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</si>
  <si>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</si>
  <si>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</si>
  <si>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</si>
  <si>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</si>
  <si>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</si>
  <si>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</si>
  <si>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</si>
  <si>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</si>
  <si>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</si>
  <si>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</si>
  <si>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</si>
  <si>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</si>
  <si>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</si>
  <si>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</si>
  <si>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</si>
  <si>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</si>
  <si>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</si>
  <si>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</si>
  <si>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</si>
  <si>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</si>
  <si>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</si>
  <si>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</si>
  <si>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</si>
  <si>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</si>
  <si>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</si>
  <si>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</si>
  <si>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</si>
  <si>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</si>
  <si>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</si>
  <si>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</si>
  <si>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</si>
  <si>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</si>
  <si>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</si>
  <si>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</si>
  <si>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</si>
  <si>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</si>
  <si>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</si>
  <si>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</si>
  <si>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</si>
  <si>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</si>
  <si>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</si>
  <si>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</si>
  <si>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</si>
  <si>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</si>
  <si>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</si>
  <si>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</si>
  <si>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</si>
  <si>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</si>
  <si>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</si>
  <si>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</si>
  <si>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</si>
  <si>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</si>
  <si>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</si>
  <si>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</si>
  <si>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</si>
  <si>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</si>
  <si>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</si>
  <si>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</si>
  <si>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</si>
  <si>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</si>
  <si>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</si>
  <si>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</si>
  <si>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</si>
  <si>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</si>
  <si>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</si>
  <si>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</si>
  <si>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</si>
  <si>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</si>
  <si>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</si>
  <si>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</si>
  <si>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</si>
  <si>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</si>
  <si>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</si>
  <si>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</si>
  <si>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</si>
  <si>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</si>
  <si>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</si>
  <si>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</si>
  <si>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</si>
  <si>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</si>
  <si>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</si>
  <si>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</si>
  <si>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</si>
  <si>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</si>
  <si>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</si>
  <si>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</si>
  <si>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</si>
  <si>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</si>
  <si>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</si>
  <si>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</si>
  <si>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</si>
  <si>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</si>
  <si>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</si>
  <si>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</si>
  <si>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</si>
  <si>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</si>
  <si>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</si>
  <si>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</si>
  <si>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</si>
  <si>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</si>
  <si>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</si>
  <si>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</si>
  <si>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</si>
  <si>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</si>
  <si>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</si>
  <si>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</si>
  <si>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</si>
  <si>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</si>
  <si>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</si>
  <si>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</si>
  <si>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</si>
  <si>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</si>
  <si>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</si>
  <si>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</si>
  <si>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</si>
  <si>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</si>
  <si>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</si>
  <si>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</si>
  <si>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</si>
  <si>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</si>
  <si>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</si>
  <si>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</si>
  <si>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</si>
  <si>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</si>
  <si>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</si>
  <si>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</si>
  <si>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</si>
  <si>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</si>
  <si>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</si>
  <si>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</si>
  <si>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</si>
  <si>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</si>
  <si>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</si>
  <si>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</si>
  <si>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</si>
  <si>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</si>
  <si>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</si>
  <si>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</si>
  <si>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</si>
  <si>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</si>
  <si>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</si>
  <si>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</si>
  <si>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</si>
  <si>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</si>
  <si>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</si>
  <si>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</si>
  <si>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</si>
  <si>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</si>
  <si>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</si>
  <si>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</si>
  <si>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</si>
  <si>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</si>
  <si>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</si>
  <si>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</si>
  <si>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</si>
  <si>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</si>
  <si>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</si>
  <si>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</si>
  <si>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</si>
  <si>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</si>
  <si>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</si>
  <si>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</si>
  <si>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</si>
  <si>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</si>
  <si>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</si>
  <si>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</si>
  <si>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</si>
  <si>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</si>
  <si>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</si>
  <si>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</si>
  <si>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</si>
  <si>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</si>
  <si>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</si>
  <si>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</si>
  <si>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</si>
  <si>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</si>
  <si>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</si>
  <si>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</si>
  <si>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</si>
  <si>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</si>
  <si>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</si>
  <si>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</si>
  <si>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</si>
  <si>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</si>
  <si>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</si>
  <si>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</si>
  <si>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</si>
  <si>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</si>
  <si>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</si>
  <si>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</si>
  <si>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</si>
  <si>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</si>
  <si>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</si>
  <si>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</si>
  <si>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</si>
  <si>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</si>
  <si>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</si>
  <si>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</si>
  <si>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</si>
  <si>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</si>
  <si>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</si>
  <si>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</si>
  <si>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</si>
  <si>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</si>
  <si>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</si>
  <si>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</si>
  <si>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</si>
  <si>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</si>
  <si>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</si>
  <si>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</si>
  <si>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</si>
  <si>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</si>
  <si>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</si>
  <si>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</si>
  <si>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</si>
  <si>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</si>
  <si>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</si>
  <si>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</si>
  <si>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</si>
  <si>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</si>
  <si>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</si>
  <si>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</si>
  <si>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</si>
  <si>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</si>
  <si>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</si>
  <si>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</si>
  <si>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</si>
  <si>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</si>
  <si>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</si>
  <si>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</si>
  <si>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</si>
  <si>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</si>
  <si>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</si>
  <si>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</si>
  <si>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</si>
  <si>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</si>
  <si>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</si>
  <si>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</si>
  <si>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</si>
  <si>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</si>
  <si>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</si>
  <si>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</si>
  <si>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</si>
  <si>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</si>
  <si>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</si>
  <si>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</si>
  <si>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</si>
  <si>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</si>
  <si>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</si>
  <si>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</si>
  <si>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</si>
  <si>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</si>
  <si>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</si>
  <si>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</si>
  <si>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</si>
  <si>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</si>
  <si>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</si>
  <si>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</si>
  <si>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</si>
  <si>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</si>
  <si>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</si>
  <si>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</si>
  <si>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</si>
  <si>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</si>
  <si>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</si>
  <si>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</si>
  <si>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</si>
  <si>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</si>
  <si>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</si>
  <si>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</si>
  <si>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</si>
  <si>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</si>
  <si>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</si>
  <si>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</si>
  <si>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</si>
  <si>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</si>
  <si>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</si>
  <si>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</si>
  <si>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</si>
  <si>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</si>
  <si>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</si>
  <si>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</si>
  <si>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</si>
  <si>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</si>
  <si>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</si>
  <si>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</si>
  <si>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</si>
  <si>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</si>
  <si>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</si>
  <si>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</si>
  <si>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</si>
  <si>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</si>
  <si>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</si>
  <si>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</si>
  <si>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</si>
  <si>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</si>
  <si>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</si>
  <si>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</si>
  <si>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</si>
  <si>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</si>
  <si>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</si>
  <si>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</si>
  <si>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</si>
  <si>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</si>
  <si>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</si>
  <si>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</si>
  <si>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</si>
  <si>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</si>
  <si>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</si>
  <si>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</si>
  <si>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</si>
  <si>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</si>
  <si>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</si>
  <si>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</si>
  <si>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</si>
  <si>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</si>
  <si>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</si>
  <si>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</si>
  <si>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</si>
  <si>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</si>
  <si>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</si>
  <si>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</si>
  <si>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</si>
  <si>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</si>
  <si>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</si>
  <si>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</si>
  <si>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</si>
  <si>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</si>
  <si>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</si>
  <si>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</si>
  <si>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</si>
  <si>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</si>
  <si>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</si>
  <si>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</si>
  <si>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</si>
  <si>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</si>
  <si>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</si>
  <si>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</si>
  <si>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</si>
  <si>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</si>
  <si>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</si>
  <si>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</si>
  <si>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</si>
  <si>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</si>
  <si>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</si>
  <si>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</si>
  <si>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</si>
  <si>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</si>
  <si>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</si>
  <si>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</si>
  <si>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</si>
  <si>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</si>
  <si>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</si>
  <si>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</si>
  <si>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</si>
  <si>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</si>
  <si>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</si>
  <si>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</si>
  <si>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</si>
  <si>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</si>
  <si>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</si>
  <si>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</si>
  <si>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</si>
  <si>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</si>
  <si>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</si>
  <si>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</si>
  <si>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</si>
  <si>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</si>
  <si>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</si>
  <si>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</si>
  <si>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</si>
  <si>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</si>
  <si>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</si>
  <si>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</si>
  <si>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</si>
  <si>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</si>
  <si>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</si>
  <si>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</si>
  <si>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</si>
  <si>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</si>
  <si>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</si>
  <si>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</si>
  <si>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</si>
  <si>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</si>
  <si>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</si>
  <si>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</si>
  <si>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</si>
  <si>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</si>
  <si>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</si>
  <si>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</si>
  <si>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</si>
  <si>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</si>
  <si>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</si>
  <si>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</si>
  <si>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</si>
  <si>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</si>
  <si>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</si>
  <si>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</si>
  <si>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</si>
  <si>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</si>
  <si>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</si>
  <si>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</si>
  <si>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</si>
  <si>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</si>
  <si>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</si>
  <si>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</si>
  <si>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</si>
  <si>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</si>
  <si>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</si>
  <si>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</si>
  <si>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</si>
  <si>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</si>
  <si>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</si>
  <si>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</si>
  <si>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</si>
  <si>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</si>
  <si>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</si>
  <si>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</si>
  <si>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</si>
  <si>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</si>
  <si>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</si>
  <si>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</si>
  <si>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</si>
  <si>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</si>
  <si>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</si>
  <si>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</si>
  <si>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</si>
  <si>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</si>
  <si>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</si>
  <si>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</si>
  <si>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</si>
  <si>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</si>
  <si>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</si>
  <si>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</si>
  <si>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</si>
  <si>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</si>
  <si>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</si>
  <si>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</si>
  <si>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</si>
  <si>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</si>
  <si>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</si>
  <si>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</si>
  <si>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</si>
  <si>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</si>
  <si>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</si>
  <si>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</si>
  <si>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</si>
  <si>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</si>
  <si>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</si>
  <si>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</si>
  <si>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</si>
  <si>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</si>
  <si>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</si>
  <si>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</si>
  <si>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</si>
  <si>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</si>
  <si>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</si>
  <si>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</si>
  <si>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</si>
  <si>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</si>
  <si>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</si>
  <si>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</si>
  <si>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</si>
  <si>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</si>
  <si>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</si>
  <si>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</si>
  <si>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</si>
  <si>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</si>
  <si>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</si>
  <si>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</si>
  <si>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</si>
  <si>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</si>
  <si>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</si>
  <si>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</si>
  <si>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</si>
  <si>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</si>
  <si>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</si>
  <si>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</si>
  <si>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</si>
  <si>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</si>
  <si>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</si>
  <si>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</si>
  <si>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</si>
  <si>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</si>
  <si>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</si>
  <si>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</si>
  <si>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</si>
  <si>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</si>
  <si>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</si>
  <si>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</si>
  <si>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</si>
  <si>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</si>
  <si>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</si>
  <si>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</si>
  <si>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</si>
  <si>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</si>
  <si>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</si>
  <si>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</si>
  <si>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</si>
  <si>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</si>
  <si>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</si>
  <si>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</si>
  <si>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</si>
  <si>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</si>
  <si>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</si>
  <si>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</si>
  <si>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</si>
  <si>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</si>
  <si>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</si>
  <si>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</si>
  <si>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</si>
  <si>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</si>
  <si>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</si>
  <si>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</si>
  <si>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</si>
  <si>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</si>
  <si>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</si>
  <si>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</si>
  <si>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</si>
  <si>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</si>
  <si>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</si>
  <si>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</si>
  <si>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</si>
  <si>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</si>
  <si>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</si>
  <si>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</si>
  <si>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</si>
  <si>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</si>
  <si>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</si>
  <si>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</si>
  <si>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</si>
  <si>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</si>
  <si>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</si>
  <si>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</si>
  <si>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</si>
  <si>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</si>
  <si>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</si>
  <si>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</si>
  <si>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</si>
  <si>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</si>
  <si>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</si>
  <si>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</si>
  <si>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</si>
  <si>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</si>
  <si>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</si>
  <si>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</si>
  <si>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</si>
  <si>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</si>
  <si>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</si>
  <si>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</si>
  <si>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</si>
  <si>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</si>
  <si>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</si>
  <si>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</si>
  <si>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</si>
  <si>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</si>
  <si>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</si>
  <si>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</si>
  <si>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</si>
  <si>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</si>
  <si>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</si>
  <si>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</si>
  <si>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</si>
  <si>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</si>
  <si>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</si>
  <si>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</si>
  <si>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</si>
  <si>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</si>
  <si>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</si>
  <si>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</si>
  <si>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</si>
  <si>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</si>
  <si>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</si>
  <si>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</si>
  <si>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</si>
  <si>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</si>
  <si>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</si>
  <si>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</si>
  <si>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</si>
  <si>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</si>
  <si>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</si>
  <si>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</si>
  <si>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</si>
  <si>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</si>
  <si>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</si>
  <si>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</si>
  <si>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</si>
  <si>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</si>
  <si>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</si>
  <si>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</si>
  <si>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</si>
  <si>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</si>
  <si>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</si>
  <si>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</si>
  <si>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</si>
  <si>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</si>
  <si>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</si>
  <si>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</si>
  <si>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</si>
  <si>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</si>
  <si>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</si>
  <si>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</si>
  <si>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</si>
  <si>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</si>
  <si>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</si>
  <si>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</si>
  <si>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</si>
  <si>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</si>
  <si>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</si>
  <si>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</si>
  <si>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</si>
  <si>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</si>
  <si>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</si>
  <si>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</si>
  <si>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</si>
  <si>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</si>
  <si>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</si>
  <si>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</si>
  <si>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</si>
  <si>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</si>
  <si>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</si>
  <si>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</si>
  <si>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</si>
  <si>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</si>
  <si>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</si>
  <si>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</si>
  <si>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</si>
  <si>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</si>
  <si>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</si>
  <si>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</si>
  <si>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</si>
  <si>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</si>
  <si>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</si>
  <si>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</si>
  <si>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</si>
  <si>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</si>
  <si>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</si>
  <si>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</si>
  <si>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</si>
  <si>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</si>
  <si>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</si>
  <si>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</si>
  <si>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</si>
  <si>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</si>
  <si>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</si>
  <si>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</si>
  <si>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</si>
  <si>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</si>
  <si>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</si>
  <si>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</si>
  <si>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</si>
  <si>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</si>
  <si>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</si>
  <si>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</si>
  <si>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</si>
  <si>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</si>
  <si>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</si>
  <si>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</si>
  <si>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</si>
  <si>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</si>
  <si>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</si>
  <si>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</si>
  <si>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</si>
  <si>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</si>
  <si>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</si>
  <si>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</si>
  <si>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</si>
  <si>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</si>
  <si>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</si>
  <si>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</si>
  <si>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</si>
  <si>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</si>
  <si>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</si>
  <si>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</si>
  <si>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</si>
  <si>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</si>
  <si>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</si>
  <si>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</si>
  <si>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</si>
  <si>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</si>
  <si>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</si>
  <si>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</si>
  <si>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</si>
  <si>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</si>
  <si>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</si>
  <si>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</si>
  <si>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</si>
  <si>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</si>
  <si>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</si>
  <si>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</si>
  <si>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</si>
  <si>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</si>
  <si>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</si>
  <si>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</si>
  <si>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</si>
  <si>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</si>
  <si>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</si>
  <si>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</si>
  <si>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</si>
  <si>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</si>
  <si>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</si>
  <si>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</si>
  <si>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</si>
  <si>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</si>
  <si>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</si>
  <si>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</si>
  <si>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</si>
  <si>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</si>
  <si>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</si>
  <si>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</si>
  <si>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</si>
  <si>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</si>
  <si>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</si>
  <si>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</si>
  <si>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</si>
  <si>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</si>
  <si>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</si>
  <si>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</si>
  <si>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</si>
  <si>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</si>
  <si>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</si>
  <si>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</si>
  <si>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</si>
  <si>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</si>
  <si>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</si>
  <si>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</si>
  <si>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</si>
  <si>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</si>
  <si>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</si>
  <si>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</si>
  <si>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</si>
  <si>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</si>
  <si>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</si>
  <si>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</si>
  <si>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</si>
  <si>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</si>
  <si>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</si>
  <si>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</si>
  <si>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</si>
  <si>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</si>
  <si>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</si>
  <si>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</si>
  <si>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</si>
  <si>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</si>
  <si>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</si>
  <si>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</si>
  <si>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</si>
  <si>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</si>
  <si>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</si>
  <si>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</si>
  <si>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</si>
  <si>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</si>
  <si>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</si>
  <si>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</si>
  <si>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</si>
  <si>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</si>
  <si>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</si>
  <si>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</si>
  <si>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</si>
  <si>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</si>
  <si>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</si>
  <si>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</si>
  <si>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</si>
  <si>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</si>
  <si>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</si>
  <si>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</si>
  <si>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</si>
  <si>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</si>
  <si>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</si>
  <si>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</si>
  <si>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</si>
  <si>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</si>
  <si>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</si>
  <si>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</si>
  <si>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</si>
  <si>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</si>
  <si>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</si>
  <si>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</si>
  <si>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</si>
  <si>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</si>
  <si>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</si>
  <si>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</si>
  <si>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</si>
  <si>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</si>
  <si>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</si>
  <si>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</si>
  <si>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</si>
  <si>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</si>
  <si>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</si>
  <si>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</si>
  <si>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</si>
  <si>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</si>
  <si>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</si>
  <si>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</si>
  <si>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</si>
  <si>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</si>
  <si>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</si>
  <si>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</si>
  <si>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</si>
  <si>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</si>
  <si>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</si>
  <si>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</si>
  <si>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</si>
  <si>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</si>
  <si>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</si>
  <si>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</si>
  <si>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</si>
  <si>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</si>
  <si>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</si>
  <si>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</si>
  <si>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</si>
  <si>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</si>
  <si>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</si>
  <si>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</si>
  <si>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</si>
  <si>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</si>
  <si>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</si>
  <si>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</si>
  <si>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</si>
  <si>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</si>
  <si>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</si>
  <si>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</si>
  <si>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</si>
  <si>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</si>
  <si>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</si>
  <si>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</si>
  <si>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</si>
  <si>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</si>
  <si>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</si>
  <si>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</si>
  <si>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</si>
  <si>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</si>
  <si>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</si>
  <si>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</si>
  <si>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</si>
  <si>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</si>
  <si>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</si>
  <si>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</si>
  <si>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</si>
  <si>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</si>
  <si>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</si>
  <si>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</si>
  <si>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</si>
  <si>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</si>
  <si>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</si>
  <si>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</si>
  <si>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</si>
  <si>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</si>
  <si>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</si>
  <si>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</si>
  <si>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</si>
  <si>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</si>
  <si>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</si>
  <si>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</si>
  <si>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</si>
  <si>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</si>
  <si>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</si>
  <si>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</si>
  <si>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</si>
  <si>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</si>
  <si>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</si>
  <si>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</si>
  <si>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</si>
  <si>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</si>
  <si>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</si>
  <si>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</si>
  <si>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</si>
  <si>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</si>
  <si>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</si>
  <si>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</si>
  <si>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</si>
  <si>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</si>
  <si>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</si>
  <si>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</si>
  <si>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</si>
  <si>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</si>
  <si>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</si>
  <si>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</si>
  <si>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</si>
  <si>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</si>
  <si>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</si>
  <si>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</si>
  <si>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</si>
  <si>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</si>
  <si>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</si>
  <si>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</si>
  <si>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</si>
  <si>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</si>
  <si>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</si>
  <si>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</si>
  <si>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</si>
  <si>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</si>
  <si>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</si>
  <si>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</si>
  <si>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</si>
  <si>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</si>
  <si>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</si>
  <si>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</si>
  <si>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</si>
  <si>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</si>
  <si>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</si>
  <si>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</si>
  <si>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</si>
  <si>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</si>
  <si>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</si>
  <si>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</si>
  <si>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</si>
  <si>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</si>
  <si>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</si>
  <si>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</si>
  <si>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</si>
  <si>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</si>
  <si>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</si>
  <si>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</si>
  <si>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</si>
  <si>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</si>
  <si>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</si>
  <si>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</si>
  <si>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</si>
  <si>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</si>
  <si>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</si>
  <si>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</si>
  <si>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</si>
  <si>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</si>
  <si>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</si>
  <si>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</si>
  <si>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</si>
  <si>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</si>
  <si>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</si>
  <si>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</si>
  <si>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</si>
  <si>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</si>
  <si>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</si>
  <si>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</si>
  <si>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</si>
  <si>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</si>
  <si>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</si>
  <si>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</si>
  <si>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</si>
  <si>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</si>
  <si>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</si>
  <si>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</si>
  <si>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</si>
  <si>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</si>
  <si>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</si>
  <si>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</si>
  <si>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</si>
  <si>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</si>
  <si>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</si>
  <si>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</si>
  <si>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</si>
  <si>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</si>
  <si>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</si>
  <si>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</si>
  <si>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</si>
  <si>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</si>
  <si>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</si>
  <si>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</si>
  <si>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</si>
  <si>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</si>
  <si>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</si>
  <si>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</si>
  <si>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</si>
  <si>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</si>
  <si>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</si>
  <si>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</si>
  <si>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</si>
  <si>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</si>
  <si>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</si>
  <si>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</si>
  <si>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</si>
  <si>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</si>
  <si>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</si>
  <si>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</si>
  <si>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</si>
  <si>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</si>
  <si>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</si>
  <si>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</si>
  <si>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</si>
  <si>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</si>
  <si>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</si>
  <si>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</si>
  <si>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</si>
  <si>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</si>
  <si>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</si>
  <si>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</si>
  <si>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</si>
  <si>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</si>
  <si>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</si>
  <si>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</si>
  <si>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</si>
  <si>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</si>
  <si>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</si>
  <si>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</si>
  <si>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</si>
  <si>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</si>
  <si>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</si>
  <si>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</si>
  <si>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</si>
  <si>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</si>
  <si>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</si>
  <si>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</si>
  <si>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</si>
  <si>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</si>
  <si>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</si>
  <si>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</si>
  <si>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</si>
  <si>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</si>
  <si>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</si>
  <si>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</si>
  <si>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</si>
  <si>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</si>
  <si>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</si>
  <si>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</si>
  <si>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</si>
  <si>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</si>
  <si>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</si>
  <si>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</si>
  <si>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</si>
  <si>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</si>
  <si>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</si>
  <si>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</si>
  <si>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</si>
  <si>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</si>
  <si>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</si>
  <si>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</si>
  <si>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</si>
  <si>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</si>
  <si>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</si>
  <si>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</si>
  <si>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</si>
  <si>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</si>
  <si>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</si>
  <si>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</si>
  <si>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</si>
  <si>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</si>
  <si>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</si>
  <si>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</si>
  <si>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</si>
  <si>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</si>
  <si>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</si>
  <si>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</si>
  <si>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</si>
  <si>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</si>
  <si>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</si>
  <si>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</si>
  <si>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</si>
  <si>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</si>
  <si>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</si>
  <si>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</si>
  <si>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</si>
  <si>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</si>
  <si>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</si>
  <si>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</si>
  <si>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</si>
  <si>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</si>
  <si>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</si>
  <si>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</si>
  <si>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</si>
  <si>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</si>
  <si>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</si>
  <si>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</si>
  <si>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</si>
  <si>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</si>
  <si>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</si>
  <si>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</si>
  <si>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</si>
  <si>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</si>
  <si>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</si>
  <si>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</si>
  <si>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</si>
  <si>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</si>
  <si>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</si>
  <si>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</si>
  <si>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</si>
  <si>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</si>
  <si>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</si>
  <si>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</si>
  <si>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</si>
  <si>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</si>
  <si>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</si>
  <si>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</si>
  <si>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</si>
  <si>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</si>
  <si>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</si>
  <si>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</si>
  <si>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</si>
  <si>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</si>
  <si>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</si>
  <si>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</si>
  <si>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</si>
  <si>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</si>
  <si>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</si>
  <si>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</si>
  <si>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</si>
  <si>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</si>
  <si>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</si>
  <si>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</si>
  <si>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</si>
  <si>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</si>
  <si>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</si>
  <si>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</si>
  <si>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</si>
  <si>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</si>
  <si>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</si>
  <si>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</si>
  <si>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</si>
  <si>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</si>
  <si>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</si>
  <si>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</si>
  <si>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</si>
  <si>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</si>
  <si>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</si>
  <si>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</si>
  <si>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</si>
  <si>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</si>
  <si>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</si>
  <si>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</si>
  <si>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</si>
  <si>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</si>
  <si>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</si>
  <si>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</si>
  <si>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</si>
  <si>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</si>
  <si>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</si>
  <si>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</si>
  <si>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</si>
  <si>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</si>
  <si>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</si>
  <si>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</si>
  <si>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</si>
  <si>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</si>
  <si>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</si>
  <si>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</si>
  <si>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</si>
  <si>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</si>
  <si>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</si>
  <si>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</si>
  <si>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</si>
  <si>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</si>
  <si>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</si>
  <si>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</si>
  <si>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</si>
  <si>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</si>
  <si>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</si>
  <si>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</si>
  <si>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</si>
  <si>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</si>
  <si>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</si>
  <si>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</si>
  <si>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</si>
  <si>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</si>
  <si>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</si>
  <si>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</si>
  <si>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</si>
  <si>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</si>
  <si>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</si>
  <si>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</si>
  <si>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</si>
  <si>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</si>
  <si>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</si>
  <si>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</si>
  <si>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</si>
  <si>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</si>
  <si>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</si>
  <si>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</si>
  <si>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</si>
  <si>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</si>
  <si>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</si>
  <si>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</si>
  <si>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</si>
  <si>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</si>
  <si>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</si>
  <si>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</si>
  <si>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</si>
  <si>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</si>
  <si>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</si>
  <si>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</si>
  <si>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</si>
  <si>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</si>
  <si>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</si>
  <si>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</si>
  <si>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</si>
  <si>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</si>
  <si>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</si>
  <si>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</si>
  <si>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</si>
  <si>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</si>
  <si>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</si>
  <si>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</si>
  <si>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</si>
  <si>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</si>
  <si>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</si>
  <si>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</si>
  <si>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</si>
  <si>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</si>
  <si>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</si>
  <si>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</si>
  <si>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</si>
  <si>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</si>
  <si>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</si>
  <si>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</si>
  <si>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</si>
  <si>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</si>
  <si>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</si>
  <si>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</si>
  <si>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</si>
  <si>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</si>
  <si>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</si>
  <si>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</si>
  <si>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</si>
  <si>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</si>
  <si>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</si>
  <si>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</si>
  <si>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</si>
  <si>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</si>
  <si>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</si>
  <si>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</si>
  <si>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</si>
  <si>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</si>
  <si>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</si>
  <si>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</si>
  <si>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</si>
  <si>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</si>
  <si>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</si>
  <si>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</si>
  <si>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</si>
  <si>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</si>
  <si>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</si>
  <si>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</si>
  <si>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</si>
  <si>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</si>
  <si>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</si>
  <si>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</si>
  <si>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</si>
  <si>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</si>
  <si>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</si>
  <si>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</si>
  <si>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</si>
  <si>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</si>
  <si>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</si>
  <si>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</si>
  <si>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</si>
  <si>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</si>
  <si>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</si>
  <si>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</si>
  <si>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</si>
  <si>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</si>
  <si>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</si>
  <si>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</si>
  <si>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</si>
  <si>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</si>
  <si>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</si>
  <si>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</si>
  <si>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</si>
  <si>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</si>
  <si>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</si>
  <si>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</si>
  <si>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</si>
  <si>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</si>
  <si>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</si>
  <si>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</si>
  <si>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</si>
  <si>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</si>
  <si>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</si>
  <si>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</si>
  <si>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</si>
  <si>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</si>
  <si>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</si>
  <si>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</si>
  <si>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</si>
  <si>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</si>
  <si>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</si>
  <si>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</si>
  <si>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</si>
  <si>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</si>
  <si>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</si>
  <si>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</si>
  <si>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</si>
  <si>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</si>
  <si>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</si>
  <si>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</si>
  <si>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</si>
  <si>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</si>
  <si>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</si>
  <si>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</si>
  <si>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</si>
  <si>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</si>
  <si>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</si>
  <si>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</si>
  <si>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</si>
  <si>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</si>
  <si>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</si>
  <si>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</si>
  <si>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</si>
  <si>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</si>
  <si>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</si>
  <si>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</si>
  <si>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</si>
  <si>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</si>
  <si>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</si>
  <si>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</si>
  <si>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</si>
  <si>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</si>
  <si>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</si>
  <si>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</si>
  <si>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</si>
  <si>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</si>
  <si>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</si>
  <si>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</si>
  <si>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</si>
  <si>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</si>
  <si>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</si>
  <si>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</si>
  <si>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</si>
  <si>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</si>
  <si>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</si>
  <si>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</si>
  <si>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</si>
  <si>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</si>
  <si>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</si>
  <si>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</si>
  <si>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</si>
  <si>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</si>
  <si>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</si>
  <si>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</si>
  <si>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</si>
  <si>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</si>
  <si>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</si>
  <si>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</si>
  <si>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</si>
  <si>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</si>
  <si>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</si>
  <si>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</si>
  <si>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</si>
  <si>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</si>
  <si>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</si>
  <si>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</si>
  <si>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</si>
  <si>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</si>
  <si>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</si>
  <si>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</si>
  <si>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</si>
  <si>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</si>
  <si>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</si>
  <si>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</si>
  <si>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</si>
  <si>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</si>
  <si>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</si>
  <si>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</si>
  <si>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</si>
  <si>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</si>
  <si>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</si>
  <si>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</si>
  <si>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</si>
  <si>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</si>
  <si>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</si>
  <si>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</si>
  <si>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</si>
  <si>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</si>
  <si>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</si>
  <si>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</si>
  <si>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</si>
  <si>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</si>
  <si>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</si>
  <si>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</si>
  <si>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</si>
  <si>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</si>
  <si>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</si>
  <si>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</si>
  <si>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</si>
  <si>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</si>
  <si>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</si>
  <si>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</si>
  <si>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</si>
  <si>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</si>
  <si>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</si>
  <si>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</si>
  <si>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</si>
  <si>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</si>
  <si>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</si>
  <si>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</si>
  <si>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</si>
  <si>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</si>
  <si>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</si>
  <si>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</si>
  <si>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</si>
  <si>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</si>
  <si>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</si>
  <si>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</si>
  <si>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</si>
  <si>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</si>
  <si>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</si>
  <si>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</si>
  <si>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</si>
  <si>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</si>
  <si>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</si>
  <si>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</si>
  <si>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</si>
  <si>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</si>
  <si>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</si>
  <si>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</si>
  <si>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</si>
  <si>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</si>
  <si>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</si>
  <si>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</si>
  <si>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</si>
  <si>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</si>
  <si>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</si>
  <si>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</si>
  <si>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</si>
  <si>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</si>
  <si>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</si>
  <si>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</si>
  <si>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</si>
  <si>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</si>
  <si>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</si>
  <si>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</si>
  <si>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</si>
  <si>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</si>
  <si>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</si>
  <si>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</si>
  <si>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</si>
  <si>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</si>
  <si>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</si>
  <si>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</si>
  <si>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</si>
  <si>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</si>
  <si>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</si>
  <si>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</si>
  <si>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</si>
  <si>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</si>
  <si>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</si>
  <si>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</si>
  <si>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</si>
  <si>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</si>
  <si>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</si>
  <si>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</si>
  <si>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</si>
  <si>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</si>
  <si>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</si>
  <si>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</si>
  <si>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</si>
  <si>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</si>
  <si>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</si>
  <si>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</si>
  <si>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</si>
  <si>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</si>
  <si>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</si>
  <si>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</si>
  <si>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</si>
  <si>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</si>
  <si>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</si>
  <si>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</si>
  <si>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</si>
  <si>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22824 VELEUČILIŠTE U ŠIBENIKU</t>
  </si>
  <si>
    <t>ŠIBENIK, 21/07/2023</t>
  </si>
  <si>
    <t>FRANE UREM</t>
  </si>
  <si>
    <t>099 2739650</t>
  </si>
  <si>
    <t>frane.urem@vus.hr</t>
  </si>
  <si>
    <t>AGENCIJA ZA MOBILNOST I PROGRAME EUROPSKE UNIJE (43335)</t>
  </si>
  <si>
    <t>Rashodi za materijal i energiju</t>
  </si>
  <si>
    <t>Materijal i sitovine</t>
  </si>
  <si>
    <t>Rashodi za usluge</t>
  </si>
  <si>
    <t>Naknade za rad predstavničkih i izvršnih tijela, povjerenstava i slično</t>
  </si>
  <si>
    <t>Premije i osiguranja</t>
  </si>
  <si>
    <t>Članarine</t>
  </si>
  <si>
    <t>Ostali financijski rashodi</t>
  </si>
  <si>
    <t>Ostale naknade građanima i kućanstvima iz proračuna</t>
  </si>
  <si>
    <t xml:space="preserve">Naknade građanima i kućanstvima u novcu </t>
  </si>
  <si>
    <t>Tekuće donacije</t>
  </si>
  <si>
    <t>Građevinski objekti</t>
  </si>
  <si>
    <t>Postrojenja i oprema</t>
  </si>
  <si>
    <t>Knjige, umjetnička djela i ostale izložbene vrijednosti</t>
  </si>
  <si>
    <t xml:space="preserve">Knjige </t>
  </si>
  <si>
    <t>Nematerijalna proizvedena imovina</t>
  </si>
  <si>
    <t>Negativne tečajne razlike i razlike zbog primjene valutne klauzula</t>
  </si>
  <si>
    <t>Pomoći unutar općeg proračuna</t>
  </si>
  <si>
    <t>Tekuće pomoći međunarodnim organizacijama te institucijama i tijelima EU</t>
  </si>
  <si>
    <t>Plan 2023</t>
  </si>
  <si>
    <t xml:space="preserve">Plan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</si>
</sst>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6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19" fillId="0" borderId="6" xfId="2" applyFont="1" applyBorder="1" applyProtection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20</xdr:row>
      <xdr:rowOff>0</xdr:rowOff>
    </xdr:from>
    <xdr:to>
      <xdr:col>0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rane.urem@vu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B13" zoomScale="130" zoomScaleNormal="130" workbookViewId="0">
      <selection activeCell="F25" sqref="F25"/>
    </sheetView>
  </sheetViews>
  <sheetFormatPr defaultColWidth="14.42578125" defaultRowHeight="1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5" t="s">
        <v>5273</v>
      </c>
      <c r="D3" s="346"/>
      <c r="E3" s="34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48" t="s">
        <v>5274</v>
      </c>
      <c r="D4" s="349"/>
      <c r="E4" s="350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48" t="s">
        <v>5275</v>
      </c>
      <c r="D5" s="349"/>
      <c r="E5" s="350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48" t="s">
        <v>5276</v>
      </c>
      <c r="D6" s="349"/>
      <c r="E6" s="350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6.5" thickBot="1">
      <c r="A7" s="91"/>
      <c r="B7" s="124" t="s">
        <v>262</v>
      </c>
      <c r="C7" s="351" t="s">
        <v>5277</v>
      </c>
      <c r="D7" s="349"/>
      <c r="E7" s="350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.7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40" t="s">
        <v>5266</v>
      </c>
      <c r="C9" s="341"/>
      <c r="D9" s="341"/>
      <c r="E9" s="341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40" t="s">
        <v>3</v>
      </c>
      <c r="C11" s="341"/>
      <c r="D11" s="341"/>
      <c r="E11" s="341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43" t="s">
        <v>5076</v>
      </c>
      <c r="C13" s="344"/>
      <c r="D13" s="344"/>
      <c r="E13" s="344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5297</v>
      </c>
      <c r="E15" s="332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1873101.8647534675</v>
      </c>
      <c r="D16" s="96">
        <f>+D17+D18</f>
        <v>3450550.9282201296</v>
      </c>
      <c r="E16" s="96">
        <f>+E17+E18</f>
        <v>2389914.92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PRIHODI'!C16</f>
        <v>1873101.8647534675</v>
      </c>
      <c r="D17" s="99">
        <f>+'A.1 PRIHODI'!C30</f>
        <v>3450550.9282201296</v>
      </c>
      <c r="E17" s="99">
        <f>+'A.1 PRIHODI'!C44</f>
        <v>2389914.92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PRIHODI'!C19</f>
        <v>0</v>
      </c>
      <c r="D18" s="99">
        <f>+'A.1 PRIHODI'!C33</f>
        <v>0</v>
      </c>
      <c r="E18" s="99">
        <f>+'A.1 PRIHODI'!C47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3048892.48</v>
      </c>
      <c r="D19" s="103">
        <f>+D20+D21</f>
        <v>3450551.1929176189</v>
      </c>
      <c r="E19" s="103">
        <f>+E20+E21</f>
        <v>3069973.3999999994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949558.48</v>
      </c>
      <c r="D20" s="105">
        <f>+'A.2 RASHODI'!C76</f>
        <v>1618970.1929176187</v>
      </c>
      <c r="E20" s="105">
        <f>+'A.2 RASHODI'!C93</f>
        <v>946353.24999999977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RASHODI'!C58</f>
        <v>2099334</v>
      </c>
      <c r="D21" s="105">
        <f>+'A.2 RASHODI'!C84</f>
        <v>1831581</v>
      </c>
      <c r="E21" s="105">
        <f>+'A.2 RASHODI'!C142</f>
        <v>2123620.15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.75">
      <c r="A22" s="95"/>
      <c r="B22" s="95" t="s">
        <v>10</v>
      </c>
      <c r="C22" s="96">
        <f>+C16-C19</f>
        <v>-1175790.6152465325</v>
      </c>
      <c r="D22" s="96">
        <f>+D16-D19</f>
        <v>-0.26469748932868242</v>
      </c>
      <c r="E22" s="96">
        <f>+E16-E19</f>
        <v>-680058.47999999952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42"/>
      <c r="C23" s="341"/>
      <c r="D23" s="341"/>
      <c r="E23" s="341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.75">
      <c r="A24" s="224"/>
      <c r="B24" s="340" t="s">
        <v>5079</v>
      </c>
      <c r="C24" s="341"/>
      <c r="D24" s="341"/>
      <c r="E24" s="341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.7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5297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/>
      <c r="D29" s="104"/>
      <c r="E29" s="104"/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/>
      <c r="D30" s="108"/>
      <c r="E30" s="109"/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.75">
      <c r="A31" s="95"/>
      <c r="B31" s="95" t="s">
        <v>15</v>
      </c>
      <c r="C31" s="103">
        <f>+C27-C28+C29+C30</f>
        <v>0</v>
      </c>
      <c r="D31" s="103">
        <f t="shared" ref="D31:E31" si="2">+D27-D28+D29+D30</f>
        <v>0</v>
      </c>
      <c r="E31" s="103">
        <f t="shared" si="2"/>
        <v>0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42"/>
      <c r="C32" s="341"/>
      <c r="D32" s="341"/>
      <c r="E32" s="341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-1175790.6152465325</v>
      </c>
      <c r="D33" s="113">
        <f>+D22+D31</f>
        <v>-0.26469748932868242</v>
      </c>
      <c r="E33" s="113">
        <f>+E22+E31</f>
        <v>-680058.47999999952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.7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.7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.7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.7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.7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.7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.7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.7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.7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.7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.7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.7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.7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.7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.7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.7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.7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.7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.7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.7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.7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25"/>
      <c r="B55" s="340" t="s">
        <v>5255</v>
      </c>
      <c r="C55" s="341"/>
      <c r="D55" s="341"/>
      <c r="E55" s="341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25"/>
      <c r="B57" s="340" t="s">
        <v>3</v>
      </c>
      <c r="C57" s="341"/>
      <c r="D57" s="341"/>
      <c r="E57" s="341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25"/>
      <c r="B59" s="343" t="s">
        <v>5076</v>
      </c>
      <c r="C59" s="344"/>
      <c r="D59" s="344"/>
      <c r="E59" s="344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.7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.75">
      <c r="A62" s="95"/>
      <c r="B62" s="95" t="s">
        <v>4</v>
      </c>
      <c r="C62" s="96">
        <f>SUM(C63:C64)</f>
        <v>14112885.999985002</v>
      </c>
      <c r="D62" s="96">
        <f>+D63+D64</f>
        <v>25998175.968674567</v>
      </c>
      <c r="E62" s="96">
        <f>+E63+E64</f>
        <v>18006813.964740001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14112885.999985002</v>
      </c>
      <c r="D63" s="99">
        <f t="shared" ref="D63:E63" si="3">+D17*7.5345</f>
        <v>25998175.968674567</v>
      </c>
      <c r="E63" s="99">
        <f t="shared" si="3"/>
        <v>18006813.964740001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.75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22971880.390560001</v>
      </c>
      <c r="D65" s="103">
        <f>+D66+D67</f>
        <v>25998177.9630378</v>
      </c>
      <c r="E65" s="103">
        <f>+E66+E67</f>
        <v>23130714.5823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.75">
      <c r="A66" s="102">
        <v>3</v>
      </c>
      <c r="B66" s="95" t="s">
        <v>8</v>
      </c>
      <c r="C66" s="99">
        <f>+C20*7.5345</f>
        <v>7154448.3675600002</v>
      </c>
      <c r="D66" s="99">
        <f t="shared" si="4"/>
        <v>12198130.918537799</v>
      </c>
      <c r="E66" s="99">
        <f t="shared" si="4"/>
        <v>7130298.5621249983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.75">
      <c r="A67" s="98">
        <v>4</v>
      </c>
      <c r="B67" s="100" t="s">
        <v>9</v>
      </c>
      <c r="C67" s="99">
        <f>+C21*7.5345</f>
        <v>15817432.023</v>
      </c>
      <c r="D67" s="99">
        <f t="shared" si="4"/>
        <v>13800047.044500001</v>
      </c>
      <c r="E67" s="99">
        <f t="shared" si="4"/>
        <v>16000416.020175001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.75">
      <c r="A68" s="95"/>
      <c r="B68" s="95" t="s">
        <v>10</v>
      </c>
      <c r="C68" s="96">
        <f>+C62-C65</f>
        <v>-8858994.3905749992</v>
      </c>
      <c r="D68" s="96">
        <f>+D62-D65</f>
        <v>-1.9943632334470749</v>
      </c>
      <c r="E68" s="96">
        <f>+E62-E65</f>
        <v>-5123900.6175599992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.75">
      <c r="A69" s="325"/>
      <c r="B69" s="342"/>
      <c r="C69" s="341"/>
      <c r="D69" s="341"/>
      <c r="E69" s="341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25"/>
      <c r="B70" s="340" t="s">
        <v>5079</v>
      </c>
      <c r="C70" s="341"/>
      <c r="D70" s="341"/>
      <c r="E70" s="341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.7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9">+C29*7.5345</f>
        <v>0</v>
      </c>
      <c r="D75" s="99">
        <f t="shared" si="9"/>
        <v>0</v>
      </c>
      <c r="E75" s="99">
        <f t="shared" si="9"/>
        <v>0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0</v>
      </c>
      <c r="D76" s="99">
        <f t="shared" si="10"/>
        <v>0</v>
      </c>
      <c r="E76" s="99">
        <f t="shared" si="10"/>
        <v>0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.75">
      <c r="A77" s="95"/>
      <c r="B77" s="95" t="s">
        <v>15</v>
      </c>
      <c r="C77" s="103">
        <f>+C73-C74+C75+C76</f>
        <v>0</v>
      </c>
      <c r="D77" s="103">
        <f t="shared" ref="D77:E77" si="11">+D73-D74+D75+D76</f>
        <v>0</v>
      </c>
      <c r="E77" s="103">
        <f t="shared" si="11"/>
        <v>0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.75">
      <c r="A78" s="325"/>
      <c r="B78" s="342"/>
      <c r="C78" s="341"/>
      <c r="D78" s="341"/>
      <c r="E78" s="341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-8858994.3905749992</v>
      </c>
      <c r="D79" s="113">
        <f t="shared" ref="D79:E79" si="12">+D68+D77</f>
        <v>-1.9943632334470749</v>
      </c>
      <c r="E79" s="113">
        <f t="shared" si="12"/>
        <v>-5123900.6175599992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.7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.7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.7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.7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.7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.7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.7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.7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.7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.7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.7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.7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.7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.7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.7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.7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.7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.7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.7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.7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.7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.7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.7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.7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.7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.7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.7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.7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.7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.7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.7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.7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.7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.7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.7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.7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.7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.7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.7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.7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.7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.7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.7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.7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.7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.7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.7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.7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.7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.7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.7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.7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.7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.7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.7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.7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.7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.7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.7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D24" sqref="D24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301" sqref="B30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262" activePane="bottomRight" state="frozen"/>
      <selection pane="topRight" activeCell="C1" sqref="C1"/>
      <selection pane="bottomLeft" activeCell="A4" sqref="A4"/>
      <selection pane="bottomRight" activeCell="C272" sqref="C272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61" t="s">
        <v>3536</v>
      </c>
      <c r="B1" s="361"/>
      <c r="C1" s="361"/>
      <c r="D1" s="361"/>
      <c r="E1" s="361"/>
      <c r="F1" s="361"/>
      <c r="G1" s="361"/>
      <c r="H1" s="361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2" t="s">
        <v>5074</v>
      </c>
      <c r="B615" s="362"/>
      <c r="C615" s="362"/>
      <c r="D615" s="362"/>
      <c r="E615" s="362"/>
      <c r="F615" s="362"/>
      <c r="G615" s="362"/>
      <c r="H615" s="362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tabSelected="1" topLeftCell="B1" zoomScale="130" zoomScaleNormal="130" workbookViewId="0">
      <pane ySplit="2" topLeftCell="A3" activePane="bottomLeft" state="frozen"/>
      <selection pane="bottomLeft" activeCell="I19" sqref="I19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54.85546875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52" t="s">
        <v>5256</v>
      </c>
      <c r="B1" s="352"/>
      <c r="C1" s="352"/>
      <c r="D1" s="352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5298</v>
      </c>
      <c r="I2" s="332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34" si="0">IFERROR(VLOOKUP(E3,$R$5:$U$112,3,FALSE),"")</f>
        <v>11</v>
      </c>
      <c r="D3" s="72" t="str">
        <f t="shared" ref="D3:D34" si="1">IFERROR(VLOOKUP(E3,$R$5:$U$112,4,FALSE),"")</f>
        <v>Opći prihodi i primici</v>
      </c>
      <c r="E3" s="84" t="s">
        <v>649</v>
      </c>
      <c r="F3" s="122" t="str">
        <f t="shared" ref="F3:F34" si="2">IFERROR(VLOOKUP(E3,$R$5:$U$112,2,FALSE),"")</f>
        <v>Prihodi iz nadležnog proračuna za financiranje redovne djelatnosti proračunskih korisnika</v>
      </c>
      <c r="G3" s="117">
        <v>1506004.84</v>
      </c>
      <c r="H3" s="117">
        <v>1497285.9282201293</v>
      </c>
      <c r="I3" s="117">
        <v>701146.3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f t="shared" si="0"/>
        <v>31</v>
      </c>
      <c r="D4" s="72" t="str">
        <f t="shared" si="1"/>
        <v>Vlastiti prihodi</v>
      </c>
      <c r="E4" s="84">
        <v>6615</v>
      </c>
      <c r="F4" s="122" t="str">
        <f t="shared" si="2"/>
        <v>Prihodi od pruženih usluga</v>
      </c>
      <c r="G4" s="117">
        <v>796.33685048775624</v>
      </c>
      <c r="H4" s="117">
        <v>20000</v>
      </c>
      <c r="I4" s="117">
        <v>12187.66</v>
      </c>
      <c r="J4" s="84"/>
      <c r="L4" s="75" t="str">
        <f t="shared" ref="L4:L66" si="3">LEFT(E4,2)</f>
        <v>66</v>
      </c>
      <c r="M4" s="75" t="str">
        <f t="shared" ref="M4:M66" si="4">LEFT(E4,3)</f>
        <v>661</v>
      </c>
      <c r="N4" s="75" t="s">
        <v>40</v>
      </c>
      <c r="O4" s="75" t="s">
        <v>41</v>
      </c>
      <c r="R4" s="26" t="s">
        <v>638</v>
      </c>
      <c r="S4" s="25" t="s">
        <v>651</v>
      </c>
      <c r="T4" s="25" t="s">
        <v>652</v>
      </c>
      <c r="U4" s="25" t="s">
        <v>41</v>
      </c>
      <c r="V4" s="83" t="s">
        <v>653</v>
      </c>
      <c r="W4" s="83" t="s">
        <v>5083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f t="shared" si="0"/>
        <v>43</v>
      </c>
      <c r="D5" s="72" t="str">
        <f t="shared" si="1"/>
        <v>Ostali prihodi za posebne namjene</v>
      </c>
      <c r="E5" s="84">
        <v>65264</v>
      </c>
      <c r="F5" s="122" t="str">
        <f t="shared" si="2"/>
        <v>Sufinanciranje cijene usluge, participacije i slično</v>
      </c>
      <c r="G5" s="117">
        <v>144993.7036299688</v>
      </c>
      <c r="H5" s="117">
        <v>266700</v>
      </c>
      <c r="I5" s="117">
        <v>131679.96</v>
      </c>
      <c r="J5" s="84"/>
      <c r="L5" s="75" t="str">
        <f t="shared" si="3"/>
        <v>65</v>
      </c>
      <c r="M5" s="75" t="str">
        <f t="shared" si="4"/>
        <v>652</v>
      </c>
      <c r="N5" s="75">
        <v>11</v>
      </c>
      <c r="O5" s="75" t="s">
        <v>46</v>
      </c>
      <c r="R5" s="5" t="s">
        <v>649</v>
      </c>
      <c r="S5" s="5" t="s">
        <v>230</v>
      </c>
      <c r="T5" s="5">
        <v>11</v>
      </c>
      <c r="U5" s="5" t="s">
        <v>46</v>
      </c>
      <c r="V5">
        <v>671</v>
      </c>
      <c r="W5">
        <v>67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 t="shared" si="0"/>
        <v>563</v>
      </c>
      <c r="D6" s="72" t="str">
        <f t="shared" si="1"/>
        <v>Europski fond za regionalni razvoj (ERDF)</v>
      </c>
      <c r="E6" s="84">
        <v>632410563</v>
      </c>
      <c r="F6" s="122" t="str">
        <f t="shared" si="2"/>
        <v>Europski fond za regionalni razvoj (EFRR)</v>
      </c>
      <c r="G6" s="117">
        <v>0</v>
      </c>
      <c r="H6" s="117">
        <v>1600000</v>
      </c>
      <c r="I6" s="117">
        <v>1283823.7</v>
      </c>
      <c r="J6" s="84"/>
      <c r="L6" s="75" t="str">
        <f t="shared" si="3"/>
        <v>63</v>
      </c>
      <c r="M6" s="75" t="str">
        <f t="shared" si="4"/>
        <v>632</v>
      </c>
      <c r="N6" s="75">
        <v>12</v>
      </c>
      <c r="O6" s="75" t="s">
        <v>232</v>
      </c>
      <c r="R6" s="5" t="s">
        <v>650</v>
      </c>
      <c r="S6" s="5" t="s">
        <v>230</v>
      </c>
      <c r="T6" s="5">
        <v>12</v>
      </c>
      <c r="U6" s="5" t="s">
        <v>232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si="0"/>
        <v>52</v>
      </c>
      <c r="D7" s="72" t="str">
        <f t="shared" si="1"/>
        <v xml:space="preserve">Ostale pomoći i darovnice </v>
      </c>
      <c r="E7" s="84">
        <v>6393</v>
      </c>
      <c r="F7" s="122" t="str">
        <f t="shared" si="2"/>
        <v>Tekući prijenosi između proračunskih korisnika istog proračuna temeljem prijenosa EU sredstava</v>
      </c>
      <c r="G7" s="117">
        <v>0</v>
      </c>
      <c r="H7" s="117">
        <v>66565</v>
      </c>
      <c r="I7" s="117">
        <v>0</v>
      </c>
      <c r="J7" s="84" t="s">
        <v>5278</v>
      </c>
      <c r="L7" s="75" t="str">
        <f t="shared" si="3"/>
        <v>63</v>
      </c>
      <c r="M7" s="75" t="str">
        <f t="shared" si="4"/>
        <v>639</v>
      </c>
      <c r="N7" s="75">
        <v>31</v>
      </c>
      <c r="O7" s="75" t="s">
        <v>91</v>
      </c>
      <c r="R7" s="5">
        <v>614810041</v>
      </c>
      <c r="S7" s="5" t="s">
        <v>1212</v>
      </c>
      <c r="T7" s="5">
        <v>41</v>
      </c>
      <c r="U7" s="5" t="s">
        <v>1208</v>
      </c>
      <c r="V7">
        <v>614</v>
      </c>
      <c r="W7">
        <v>61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0"/>
        <v>52</v>
      </c>
      <c r="D8" s="72" t="str">
        <f t="shared" si="1"/>
        <v xml:space="preserve">Ostale pomoći i darovnice </v>
      </c>
      <c r="E8" s="84">
        <v>6361</v>
      </c>
      <c r="F8" s="122" t="str">
        <f t="shared" si="2"/>
        <v>Tekuće pomoći proračunskim korisnicima iz proračuna JLP(R)S koji im nije nadležan</v>
      </c>
      <c r="G8" s="117">
        <v>0</v>
      </c>
      <c r="H8" s="117">
        <v>0</v>
      </c>
      <c r="I8" s="117">
        <v>68166.62</v>
      </c>
      <c r="J8" s="84"/>
      <c r="L8" s="75" t="str">
        <f t="shared" si="3"/>
        <v>63</v>
      </c>
      <c r="M8" s="75" t="str">
        <f t="shared" si="4"/>
        <v>636</v>
      </c>
      <c r="N8">
        <v>41</v>
      </c>
      <c r="O8" t="s">
        <v>1208</v>
      </c>
      <c r="R8" s="5">
        <v>614820041</v>
      </c>
      <c r="S8" s="5" t="s">
        <v>1213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 t="shared" si="0"/>
        <v>61</v>
      </c>
      <c r="D9" s="72" t="str">
        <f t="shared" si="1"/>
        <v xml:space="preserve">Donacije </v>
      </c>
      <c r="E9" s="84">
        <v>663120000</v>
      </c>
      <c r="F9" s="122" t="str">
        <f t="shared" si="2"/>
        <v>Tekuće donacije od neprofitnih organizacija</v>
      </c>
      <c r="G9" s="117">
        <v>15892.937819364257</v>
      </c>
      <c r="H9" s="117">
        <v>0</v>
      </c>
      <c r="I9" s="117">
        <v>177329.02</v>
      </c>
      <c r="J9" s="84"/>
      <c r="L9" s="75" t="str">
        <f t="shared" si="3"/>
        <v>66</v>
      </c>
      <c r="M9" s="75" t="str">
        <f t="shared" si="4"/>
        <v>663</v>
      </c>
      <c r="N9" s="75">
        <v>43</v>
      </c>
      <c r="O9" s="75" t="s">
        <v>96</v>
      </c>
      <c r="R9" s="5">
        <v>614830041</v>
      </c>
      <c r="S9" s="5" t="s">
        <v>1214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0"/>
        <v>52</v>
      </c>
      <c r="D10" s="72" t="str">
        <f t="shared" si="1"/>
        <v xml:space="preserve">Ostale pomoći i darovnice </v>
      </c>
      <c r="E10" s="84">
        <v>632112000</v>
      </c>
      <c r="F10" s="122" t="str">
        <f t="shared" si="2"/>
        <v>Tekuće pomoći od međunarodnih organizacija</v>
      </c>
      <c r="G10" s="117">
        <v>0</v>
      </c>
      <c r="H10" s="117">
        <v>0</v>
      </c>
      <c r="I10" s="117">
        <v>15581.66</v>
      </c>
      <c r="J10" s="84"/>
      <c r="L10" s="75" t="str">
        <f t="shared" si="3"/>
        <v>63</v>
      </c>
      <c r="M10" s="75" t="str">
        <f t="shared" si="4"/>
        <v>632</v>
      </c>
      <c r="N10" s="75">
        <v>51</v>
      </c>
      <c r="O10" s="75" t="s">
        <v>86</v>
      </c>
      <c r="R10" s="5">
        <v>614840041</v>
      </c>
      <c r="S10" s="5" t="s">
        <v>1215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v>52</v>
      </c>
      <c r="D11" s="72" t="str">
        <f t="shared" si="1"/>
        <v xml:space="preserve">Ostale pomoći i darovnice </v>
      </c>
      <c r="E11" s="84">
        <v>6362</v>
      </c>
      <c r="F11" s="122" t="str">
        <f t="shared" si="2"/>
        <v>Kapitalne pomoći proračunskim korisnicima iz proračuna JLP(R)S koji im nije nadležan</v>
      </c>
      <c r="G11" s="117">
        <v>196429.75645364655</v>
      </c>
      <c r="H11" s="117">
        <v>0</v>
      </c>
      <c r="I11" s="117">
        <v>0</v>
      </c>
      <c r="J11" s="84"/>
      <c r="L11" s="75" t="str">
        <f t="shared" si="3"/>
        <v>63</v>
      </c>
      <c r="M11" s="75" t="str">
        <f t="shared" si="4"/>
        <v>636</v>
      </c>
      <c r="N11" s="75">
        <v>52</v>
      </c>
      <c r="O11" s="75" t="s">
        <v>109</v>
      </c>
      <c r="R11" s="5">
        <v>631110000</v>
      </c>
      <c r="S11" s="5" t="s">
        <v>22</v>
      </c>
      <c r="T11" s="5">
        <v>52</v>
      </c>
      <c r="U11" s="5" t="s">
        <v>1671</v>
      </c>
      <c r="V11">
        <v>631</v>
      </c>
      <c r="W11">
        <v>63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0"/>
        <v>52</v>
      </c>
      <c r="D12" s="72" t="str">
        <f t="shared" si="1"/>
        <v xml:space="preserve">Ostale pomoći i darovnice </v>
      </c>
      <c r="E12" s="84">
        <v>6381</v>
      </c>
      <c r="F12" s="122" t="str">
        <f t="shared" si="2"/>
        <v>Tekuće pomoći temeljem prijenosa EU sredstava iz proračuna JLP(R)S, korisnika JLPRS ili izvanproračunskog korisnika</v>
      </c>
      <c r="G12" s="117">
        <v>8984.2900000000009</v>
      </c>
      <c r="H12" s="117">
        <v>0</v>
      </c>
      <c r="I12" s="117">
        <v>0</v>
      </c>
      <c r="J12" s="84"/>
      <c r="L12" s="75" t="str">
        <f t="shared" si="3"/>
        <v>63</v>
      </c>
      <c r="M12" s="75" t="str">
        <f t="shared" si="4"/>
        <v>638</v>
      </c>
      <c r="N12">
        <v>552</v>
      </c>
      <c r="O12" t="s">
        <v>1209</v>
      </c>
      <c r="R12" s="5">
        <v>631120000</v>
      </c>
      <c r="S12" s="5" t="s">
        <v>23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119" t="str">
        <f t="shared" si="0"/>
        <v/>
      </c>
      <c r="D13" s="72" t="str">
        <f t="shared" si="1"/>
        <v/>
      </c>
      <c r="E13" s="84"/>
      <c r="F13" s="122" t="str">
        <f t="shared" si="2"/>
        <v/>
      </c>
      <c r="G13" s="117"/>
      <c r="H13" s="117"/>
      <c r="I13" s="117"/>
      <c r="J13" s="84"/>
      <c r="L13" s="75" t="str">
        <f t="shared" si="3"/>
        <v/>
      </c>
      <c r="M13" s="75" t="str">
        <f t="shared" si="4"/>
        <v/>
      </c>
      <c r="N13">
        <v>559</v>
      </c>
      <c r="O13" t="s">
        <v>1210</v>
      </c>
      <c r="R13" s="5">
        <v>631210000</v>
      </c>
      <c r="S13" s="5" t="s">
        <v>24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119" t="str">
        <f t="shared" si="0"/>
        <v/>
      </c>
      <c r="D14" s="72" t="str">
        <f t="shared" si="1"/>
        <v/>
      </c>
      <c r="E14" s="84"/>
      <c r="F14" s="122" t="str">
        <f t="shared" si="2"/>
        <v/>
      </c>
      <c r="G14" s="117"/>
      <c r="H14" s="117"/>
      <c r="I14" s="117"/>
      <c r="J14" s="84"/>
      <c r="L14" s="75" t="str">
        <f t="shared" si="3"/>
        <v/>
      </c>
      <c r="M14" s="75" t="str">
        <f t="shared" si="4"/>
        <v/>
      </c>
      <c r="N14" s="75">
        <v>561</v>
      </c>
      <c r="O14" s="75" t="s">
        <v>111</v>
      </c>
      <c r="R14" s="5">
        <v>631220000</v>
      </c>
      <c r="S14" s="5" t="s">
        <v>25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0"/>
        <v/>
      </c>
      <c r="D15" s="72" t="str">
        <f t="shared" si="1"/>
        <v/>
      </c>
      <c r="E15" s="84"/>
      <c r="F15" s="122" t="str">
        <f t="shared" si="2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563</v>
      </c>
      <c r="O15" s="75" t="s">
        <v>113</v>
      </c>
      <c r="R15" s="5">
        <v>632112000</v>
      </c>
      <c r="S15" s="5" t="s">
        <v>1672</v>
      </c>
      <c r="T15" s="5">
        <v>52</v>
      </c>
      <c r="U15" s="5" t="s">
        <v>1671</v>
      </c>
      <c r="V15">
        <v>632</v>
      </c>
      <c r="W15">
        <v>63</v>
      </c>
    </row>
    <row r="16" spans="1:23">
      <c r="A16" s="73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0"/>
        <v/>
      </c>
      <c r="D16" s="72" t="str">
        <f t="shared" si="1"/>
        <v/>
      </c>
      <c r="E16" s="84"/>
      <c r="F16" s="122" t="str">
        <f t="shared" si="2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573</v>
      </c>
      <c r="O16" t="s">
        <v>1220</v>
      </c>
      <c r="R16" s="5">
        <v>632212000</v>
      </c>
      <c r="S16" s="5" t="s">
        <v>1673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0"/>
        <v/>
      </c>
      <c r="D17" s="72" t="str">
        <f t="shared" si="1"/>
        <v/>
      </c>
      <c r="E17" s="84"/>
      <c r="F17" s="122" t="str">
        <f t="shared" si="2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>
        <v>575</v>
      </c>
      <c r="O17" t="s">
        <v>1222</v>
      </c>
      <c r="R17" s="5">
        <v>632310552</v>
      </c>
      <c r="S17" s="5" t="s">
        <v>1217</v>
      </c>
      <c r="T17" s="5">
        <v>552</v>
      </c>
      <c r="U17" s="5" t="s">
        <v>1209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 s="222">
        <v>5761</v>
      </c>
      <c r="O18" s="142" t="s">
        <v>3531</v>
      </c>
      <c r="R18" s="5">
        <v>632310559</v>
      </c>
      <c r="S18" s="5" t="s">
        <v>1218</v>
      </c>
      <c r="T18" s="5">
        <v>559</v>
      </c>
      <c r="U18" s="5" t="s">
        <v>1210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5762</v>
      </c>
      <c r="O19" s="142" t="s">
        <v>3531</v>
      </c>
      <c r="R19" s="5">
        <v>632310561</v>
      </c>
      <c r="S19" s="5" t="s">
        <v>111</v>
      </c>
      <c r="T19" s="5">
        <v>561</v>
      </c>
      <c r="U19" s="5" t="s">
        <v>111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135">
        <v>581</v>
      </c>
      <c r="O20" s="169" t="s">
        <v>1778</v>
      </c>
      <c r="R20" s="5">
        <v>632310563</v>
      </c>
      <c r="S20" s="5" t="s">
        <v>1747</v>
      </c>
      <c r="T20" s="5">
        <v>563</v>
      </c>
      <c r="U20" s="5" t="s">
        <v>113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75">
        <v>61</v>
      </c>
      <c r="O21" s="75" t="s">
        <v>115</v>
      </c>
      <c r="R21" s="5">
        <v>632310573</v>
      </c>
      <c r="S21" s="5" t="s">
        <v>1219</v>
      </c>
      <c r="T21" s="5">
        <v>573</v>
      </c>
      <c r="U21" s="5" t="s">
        <v>1220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220">
        <v>63</v>
      </c>
      <c r="O22" s="75" t="s">
        <v>3527</v>
      </c>
      <c r="R22" s="5">
        <v>632310575</v>
      </c>
      <c r="S22" s="5" t="s">
        <v>1221</v>
      </c>
      <c r="T22" s="5">
        <v>575</v>
      </c>
      <c r="U22" s="5" t="s">
        <v>1222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75">
        <v>71</v>
      </c>
      <c r="O23" s="75" t="s">
        <v>173</v>
      </c>
      <c r="R23" s="221">
        <v>632315761</v>
      </c>
      <c r="S23" s="221" t="s">
        <v>1779</v>
      </c>
      <c r="T23" s="221">
        <v>576</v>
      </c>
      <c r="U23" s="221" t="s">
        <v>1703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81</v>
      </c>
      <c r="O24" s="75" t="s">
        <v>56</v>
      </c>
      <c r="R24" s="221">
        <v>632315762</v>
      </c>
      <c r="S24" s="221" t="s">
        <v>3529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/>
      <c r="O25" s="75"/>
      <c r="R25" s="5">
        <v>632310581</v>
      </c>
      <c r="S25" s="5" t="s">
        <v>1781</v>
      </c>
      <c r="T25" s="5">
        <v>581</v>
      </c>
      <c r="U25" s="5" t="s">
        <v>1778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R26" s="5">
        <v>632311700</v>
      </c>
      <c r="S26" s="5" t="s">
        <v>20</v>
      </c>
      <c r="T26" s="5">
        <v>51</v>
      </c>
      <c r="U26" s="5" t="s">
        <v>1674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632311800</v>
      </c>
      <c r="S27" s="5" t="s">
        <v>217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632410552</v>
      </c>
      <c r="S28" s="5" t="s">
        <v>1223</v>
      </c>
      <c r="T28" s="5">
        <v>552</v>
      </c>
      <c r="U28" s="5" t="s">
        <v>1209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632410559</v>
      </c>
      <c r="S29" s="5" t="s">
        <v>1224</v>
      </c>
      <c r="T29" s="5">
        <v>559</v>
      </c>
      <c r="U29" s="5" t="s">
        <v>1210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632410561</v>
      </c>
      <c r="S30" s="5" t="s">
        <v>111</v>
      </c>
      <c r="T30" s="5">
        <v>561</v>
      </c>
      <c r="U30" s="5" t="s">
        <v>111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632410563</v>
      </c>
      <c r="S31" s="5" t="s">
        <v>1747</v>
      </c>
      <c r="T31" s="5">
        <v>563</v>
      </c>
      <c r="U31" s="5" t="s">
        <v>113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632410573</v>
      </c>
      <c r="S32" s="5" t="s">
        <v>1225</v>
      </c>
      <c r="T32" s="5">
        <v>573</v>
      </c>
      <c r="U32" s="5" t="s">
        <v>1220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632410575</v>
      </c>
      <c r="S33" s="5" t="s">
        <v>1226</v>
      </c>
      <c r="T33" s="5">
        <v>575</v>
      </c>
      <c r="U33" s="5" t="s">
        <v>1222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221">
        <v>632415761</v>
      </c>
      <c r="S34" s="221" t="s">
        <v>1780</v>
      </c>
      <c r="T34" s="221">
        <v>576</v>
      </c>
      <c r="U34" s="221" t="s">
        <v>1703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ref="C35:C65" si="5">IFERROR(VLOOKUP(E35,$R$5:$U$112,3,FALSE),"")</f>
        <v/>
      </c>
      <c r="D35" s="72" t="str">
        <f t="shared" ref="D35:D65" si="6">IFERROR(VLOOKUP(E35,$R$5:$U$112,4,FALSE),"")</f>
        <v/>
      </c>
      <c r="E35" s="84"/>
      <c r="F35" s="122" t="str">
        <f t="shared" ref="F35:F65" si="7">IFERROR(VLOOKUP(E35,$R$5:$U$112,2,FALSE),"")</f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632415762</v>
      </c>
      <c r="S35" s="221" t="s">
        <v>3530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5"/>
        <v/>
      </c>
      <c r="D36" s="72" t="str">
        <f t="shared" si="6"/>
        <v/>
      </c>
      <c r="E36" s="84"/>
      <c r="F36" s="122" t="str">
        <f t="shared" si="7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5">
        <v>632410581</v>
      </c>
      <c r="S36" s="5" t="s">
        <v>1782</v>
      </c>
      <c r="T36" s="5">
        <v>581</v>
      </c>
      <c r="U36" s="5" t="s">
        <v>1778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5"/>
        <v/>
      </c>
      <c r="D37" s="72" t="str">
        <f t="shared" si="6"/>
        <v/>
      </c>
      <c r="E37" s="84"/>
      <c r="F37" s="122" t="str">
        <f t="shared" si="7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632411700</v>
      </c>
      <c r="S37" s="5" t="s">
        <v>21</v>
      </c>
      <c r="T37" s="5">
        <v>51</v>
      </c>
      <c r="U37" s="5" t="s">
        <v>1674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5"/>
        <v/>
      </c>
      <c r="D38" s="72" t="str">
        <f t="shared" si="6"/>
        <v/>
      </c>
      <c r="E38" s="84"/>
      <c r="F38" s="122" t="str">
        <f t="shared" si="7"/>
        <v/>
      </c>
      <c r="G38" s="117"/>
      <c r="H38" s="117"/>
      <c r="I38" s="117"/>
      <c r="J38" s="84"/>
      <c r="K38" s="331"/>
      <c r="L38" s="75" t="str">
        <f t="shared" si="3"/>
        <v/>
      </c>
      <c r="M38" s="328">
        <f>+G10+G11+G36</f>
        <v>196429.75645364655</v>
      </c>
      <c r="R38" s="5">
        <v>6341</v>
      </c>
      <c r="S38" s="5" t="s">
        <v>1705</v>
      </c>
      <c r="T38" s="5">
        <v>52</v>
      </c>
      <c r="U38" s="5" t="s">
        <v>1671</v>
      </c>
      <c r="V38">
        <v>634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5"/>
        <v/>
      </c>
      <c r="D39" s="72" t="str">
        <f t="shared" si="6"/>
        <v/>
      </c>
      <c r="E39" s="84"/>
      <c r="F39" s="122" t="str">
        <f t="shared" si="7"/>
        <v/>
      </c>
      <c r="G39" s="117"/>
      <c r="H39" s="117"/>
      <c r="I39" s="117"/>
      <c r="J39" s="84"/>
      <c r="L39" s="75" t="str">
        <f t="shared" si="3"/>
        <v/>
      </c>
      <c r="M39" s="75" t="str">
        <f t="shared" si="4"/>
        <v/>
      </c>
      <c r="R39" s="5">
        <v>6342</v>
      </c>
      <c r="S39" s="5" t="s">
        <v>1706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5"/>
        <v/>
      </c>
      <c r="D40" s="72" t="str">
        <f t="shared" si="6"/>
        <v/>
      </c>
      <c r="E40" s="84"/>
      <c r="F40" s="122" t="str">
        <f t="shared" si="7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6361</v>
      </c>
      <c r="S40" s="5" t="s">
        <v>1675</v>
      </c>
      <c r="T40" s="5">
        <v>52</v>
      </c>
      <c r="U40" s="5" t="s">
        <v>1671</v>
      </c>
      <c r="V40">
        <v>636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5"/>
        <v/>
      </c>
      <c r="D41" s="72" t="str">
        <f t="shared" si="6"/>
        <v/>
      </c>
      <c r="E41" s="84"/>
      <c r="F41" s="122" t="str">
        <f t="shared" si="7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6362</v>
      </c>
      <c r="S41" s="5" t="s">
        <v>1676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5"/>
        <v/>
      </c>
      <c r="D42" s="72" t="str">
        <f t="shared" si="6"/>
        <v/>
      </c>
      <c r="E42" s="84"/>
      <c r="F42" s="122" t="str">
        <f t="shared" si="7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6381</v>
      </c>
      <c r="S42" s="5" t="s">
        <v>1783</v>
      </c>
      <c r="T42" s="5">
        <v>52</v>
      </c>
      <c r="U42" s="5" t="s">
        <v>1671</v>
      </c>
      <c r="V42">
        <v>638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5"/>
        <v/>
      </c>
      <c r="D43" s="72" t="str">
        <f t="shared" si="6"/>
        <v/>
      </c>
      <c r="E43" s="84"/>
      <c r="F43" s="122" t="str">
        <f t="shared" si="7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6382</v>
      </c>
      <c r="S43" s="5" t="s">
        <v>1784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5"/>
        <v/>
      </c>
      <c r="D44" s="72" t="str">
        <f t="shared" si="6"/>
        <v/>
      </c>
      <c r="E44" s="84"/>
      <c r="F44" s="122" t="str">
        <f t="shared" si="7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6391</v>
      </c>
      <c r="S44" s="5" t="s">
        <v>28</v>
      </c>
      <c r="T44" s="5">
        <v>52</v>
      </c>
      <c r="U44" s="5" t="s">
        <v>1671</v>
      </c>
      <c r="V44">
        <v>639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5"/>
        <v/>
      </c>
      <c r="D45" s="72" t="str">
        <f t="shared" si="6"/>
        <v/>
      </c>
      <c r="E45" s="84"/>
      <c r="F45" s="122" t="str">
        <f t="shared" si="7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6392</v>
      </c>
      <c r="S45" s="5" t="s">
        <v>29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5"/>
        <v/>
      </c>
      <c r="D46" s="72" t="str">
        <f t="shared" si="6"/>
        <v/>
      </c>
      <c r="E46" s="84"/>
      <c r="F46" s="122" t="str">
        <f t="shared" si="7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6393</v>
      </c>
      <c r="S46" s="5" t="s">
        <v>30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5"/>
        <v/>
      </c>
      <c r="D47" s="72" t="str">
        <f t="shared" si="6"/>
        <v/>
      </c>
      <c r="E47" s="84"/>
      <c r="F47" s="122" t="str">
        <f t="shared" si="7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6394</v>
      </c>
      <c r="S47" s="5" t="s">
        <v>31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5"/>
        <v/>
      </c>
      <c r="D48" s="72" t="str">
        <f t="shared" si="6"/>
        <v/>
      </c>
      <c r="E48" s="84"/>
      <c r="F48" s="122" t="str">
        <f t="shared" si="7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641290031</v>
      </c>
      <c r="S48" s="5" t="s">
        <v>206</v>
      </c>
      <c r="T48" s="5">
        <v>31</v>
      </c>
      <c r="U48" s="5" t="s">
        <v>91</v>
      </c>
      <c r="V48">
        <v>641</v>
      </c>
      <c r="W48">
        <v>64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5"/>
        <v/>
      </c>
      <c r="D49" s="72" t="str">
        <f t="shared" si="6"/>
        <v/>
      </c>
      <c r="E49" s="84"/>
      <c r="F49" s="122" t="str">
        <f t="shared" si="7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641310031</v>
      </c>
      <c r="S49" s="5" t="s">
        <v>207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5"/>
        <v/>
      </c>
      <c r="D50" s="72" t="str">
        <f t="shared" si="6"/>
        <v/>
      </c>
      <c r="E50" s="84"/>
      <c r="F50" s="122" t="str">
        <f t="shared" si="7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641320031</v>
      </c>
      <c r="S50" s="5" t="s">
        <v>208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5"/>
        <v/>
      </c>
      <c r="D51" s="72" t="str">
        <f t="shared" si="6"/>
        <v/>
      </c>
      <c r="E51" s="84"/>
      <c r="F51" s="122" t="str">
        <f t="shared" si="7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641320043</v>
      </c>
      <c r="S51" s="5" t="s">
        <v>1677</v>
      </c>
      <c r="T51" s="5">
        <v>43</v>
      </c>
      <c r="U51" s="5" t="s">
        <v>96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5"/>
        <v/>
      </c>
      <c r="D52" s="72" t="str">
        <f t="shared" si="6"/>
        <v/>
      </c>
      <c r="E52" s="84"/>
      <c r="F52" s="122" t="str">
        <f t="shared" si="7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641510031</v>
      </c>
      <c r="S52" s="5" t="s">
        <v>1678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5"/>
        <v/>
      </c>
      <c r="D53" s="72" t="str">
        <f t="shared" si="6"/>
        <v/>
      </c>
      <c r="E53" s="84"/>
      <c r="F53" s="122" t="str">
        <f t="shared" si="7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641510043</v>
      </c>
      <c r="S53" s="5" t="s">
        <v>1679</v>
      </c>
      <c r="T53" s="5">
        <v>43</v>
      </c>
      <c r="U53" s="5" t="s">
        <v>96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5"/>
        <v/>
      </c>
      <c r="D54" s="72" t="str">
        <f t="shared" si="6"/>
        <v/>
      </c>
      <c r="E54" s="84"/>
      <c r="F54" s="122" t="str">
        <f t="shared" si="7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641630031</v>
      </c>
      <c r="S54" s="5" t="s">
        <v>209</v>
      </c>
      <c r="T54" s="5">
        <v>31</v>
      </c>
      <c r="U54" s="5" t="s">
        <v>91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5"/>
        <v/>
      </c>
      <c r="D55" s="72" t="str">
        <f t="shared" si="6"/>
        <v/>
      </c>
      <c r="E55" s="84"/>
      <c r="F55" s="122" t="str">
        <f t="shared" si="7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641720043</v>
      </c>
      <c r="S55" s="5" t="s">
        <v>212</v>
      </c>
      <c r="T55" s="5">
        <v>43</v>
      </c>
      <c r="U55" s="5" t="s">
        <v>96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5"/>
        <v/>
      </c>
      <c r="D56" s="72" t="str">
        <f t="shared" si="6"/>
        <v/>
      </c>
      <c r="E56" s="84"/>
      <c r="F56" s="122" t="str">
        <f t="shared" si="7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641770041</v>
      </c>
      <c r="S56" s="5" t="s">
        <v>1216</v>
      </c>
      <c r="T56" s="5">
        <v>41</v>
      </c>
      <c r="U56" s="5" t="s">
        <v>1208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5"/>
        <v/>
      </c>
      <c r="D57" s="72" t="str">
        <f t="shared" si="6"/>
        <v/>
      </c>
      <c r="E57" s="84"/>
      <c r="F57" s="122" t="str">
        <f t="shared" si="7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641990043</v>
      </c>
      <c r="S57" s="5" t="s">
        <v>1680</v>
      </c>
      <c r="T57" s="5">
        <v>43</v>
      </c>
      <c r="U57" s="5" t="s">
        <v>96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5"/>
        <v/>
      </c>
      <c r="D58" s="72" t="str">
        <f t="shared" si="6"/>
        <v/>
      </c>
      <c r="E58" s="84"/>
      <c r="F58" s="122" t="str">
        <f t="shared" si="7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642510031</v>
      </c>
      <c r="S58" s="5" t="s">
        <v>210</v>
      </c>
      <c r="T58" s="5">
        <v>31</v>
      </c>
      <c r="U58" s="5" t="s">
        <v>91</v>
      </c>
      <c r="V58">
        <v>642</v>
      </c>
      <c r="W58">
        <v>64</v>
      </c>
    </row>
    <row r="59" spans="1:23">
      <c r="A59" s="73" t="str">
        <f>IF(E59="","",VLOOKUP('OPĆI DIO'!$C$3,'OPĆI DIO'!$L$6:$U$138,10,FALSE))</f>
        <v>08006</v>
      </c>
      <c r="B59" s="73" t="str">
        <f>IF(E59="","",VLOOKUP('OPĆI DIO'!$C$3,'OPĆI DIO'!$L$6:$U$138,9,FALSE))</f>
        <v>Sveučilišta i veleučilišta u Republici Hrvatskoj</v>
      </c>
      <c r="C59" s="119">
        <f t="shared" si="5"/>
        <v>11</v>
      </c>
      <c r="D59" s="72" t="str">
        <f t="shared" si="6"/>
        <v>Opći prihodi i primici</v>
      </c>
      <c r="E59" s="84" t="s">
        <v>649</v>
      </c>
      <c r="F59" s="122" t="str">
        <f t="shared" si="7"/>
        <v>Prihodi iz nadležnog proračuna za financiranje redovne djelatnosti proračunskih korisnika</v>
      </c>
      <c r="G59" s="117"/>
      <c r="H59" s="117"/>
      <c r="I59" s="117"/>
      <c r="J59" s="84"/>
      <c r="L59" s="75" t="str">
        <f t="shared" si="3"/>
        <v>67</v>
      </c>
      <c r="M59" s="75" t="str">
        <f t="shared" si="4"/>
        <v>671</v>
      </c>
      <c r="R59" s="5">
        <v>642990031</v>
      </c>
      <c r="S59" s="5" t="s">
        <v>211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5"/>
        <v>41</v>
      </c>
      <c r="D60" s="72" t="str">
        <f t="shared" si="6"/>
        <v>Prihodi od igara na sreću</v>
      </c>
      <c r="E60" s="84">
        <v>614830041</v>
      </c>
      <c r="F60" s="122" t="str">
        <f t="shared" si="7"/>
        <v>Naknade za priređivanje klađenja, izvor 41</v>
      </c>
      <c r="G60" s="117"/>
      <c r="H60" s="117"/>
      <c r="I60" s="117"/>
      <c r="J60" s="84"/>
      <c r="L60" s="75" t="str">
        <f t="shared" si="3"/>
        <v>61</v>
      </c>
      <c r="M60" s="75" t="str">
        <f t="shared" si="4"/>
        <v>614</v>
      </c>
      <c r="R60" s="5">
        <v>65148</v>
      </c>
      <c r="S60" s="5" t="s">
        <v>19</v>
      </c>
      <c r="T60" s="5">
        <v>43</v>
      </c>
      <c r="U60" s="5" t="s">
        <v>96</v>
      </c>
      <c r="V60">
        <v>651</v>
      </c>
      <c r="W60">
        <v>65</v>
      </c>
    </row>
    <row r="61" spans="1:23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5"/>
        <v>43</v>
      </c>
      <c r="D61" s="72" t="str">
        <f t="shared" si="6"/>
        <v>Ostali prihodi za posebne namjene</v>
      </c>
      <c r="E61" s="84">
        <v>641990043</v>
      </c>
      <c r="F61" s="122" t="str">
        <f t="shared" si="7"/>
        <v>Ostali prihodi od financijske imovine izvor 43</v>
      </c>
      <c r="G61" s="117"/>
      <c r="H61" s="117"/>
      <c r="I61" s="117"/>
      <c r="J61" s="84"/>
      <c r="L61" s="75" t="str">
        <f t="shared" si="3"/>
        <v>64</v>
      </c>
      <c r="M61" s="75" t="str">
        <f t="shared" si="4"/>
        <v>641</v>
      </c>
      <c r="R61" s="5">
        <v>65218</v>
      </c>
      <c r="S61" s="5" t="s">
        <v>1681</v>
      </c>
      <c r="T61" s="5">
        <v>43</v>
      </c>
      <c r="U61" s="5" t="s">
        <v>96</v>
      </c>
      <c r="V61">
        <v>652</v>
      </c>
      <c r="W61">
        <v>65</v>
      </c>
    </row>
    <row r="62" spans="1:23">
      <c r="A62" s="73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5"/>
        <v/>
      </c>
      <c r="D62" s="72" t="str">
        <f t="shared" si="6"/>
        <v/>
      </c>
      <c r="E62" s="84"/>
      <c r="F62" s="122" t="str">
        <f t="shared" si="7"/>
        <v/>
      </c>
      <c r="G62" s="117"/>
      <c r="H62" s="117"/>
      <c r="I62" s="117"/>
      <c r="J62" s="84"/>
      <c r="L62" s="75" t="str">
        <f t="shared" si="3"/>
        <v/>
      </c>
      <c r="M62" s="75" t="str">
        <f t="shared" si="4"/>
        <v/>
      </c>
      <c r="R62" s="5">
        <v>65264</v>
      </c>
      <c r="S62" s="5" t="s">
        <v>213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5"/>
        <v/>
      </c>
      <c r="D63" s="72" t="str">
        <f t="shared" si="6"/>
        <v/>
      </c>
      <c r="E63" s="84"/>
      <c r="F63" s="122" t="str">
        <f t="shared" si="7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652670043</v>
      </c>
      <c r="S63" s="5" t="s">
        <v>214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5"/>
        <v/>
      </c>
      <c r="D64" s="72" t="str">
        <f t="shared" si="6"/>
        <v/>
      </c>
      <c r="E64" s="84"/>
      <c r="F64" s="122" t="str">
        <f t="shared" si="7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652670071</v>
      </c>
      <c r="S64" s="5" t="s">
        <v>1786</v>
      </c>
      <c r="T64" s="5">
        <v>71</v>
      </c>
      <c r="U64" s="5" t="s">
        <v>173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5"/>
        <v/>
      </c>
      <c r="D65" s="72" t="str">
        <f t="shared" si="6"/>
        <v/>
      </c>
      <c r="E65" s="84"/>
      <c r="F65" s="122" t="str">
        <f t="shared" si="7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65268</v>
      </c>
      <c r="S65" s="5" t="s">
        <v>1682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ref="C66:C129" si="8">IFERROR(VLOOKUP(E66,$R$5:$U$112,3,FALSE),"")</f>
        <v/>
      </c>
      <c r="D66" s="72" t="str">
        <f t="shared" ref="D66:D129" si="9">IFERROR(VLOOKUP(E66,$R$5:$U$112,4,FALSE),"")</f>
        <v/>
      </c>
      <c r="E66" s="84"/>
      <c r="F66" s="122" t="str">
        <f t="shared" ref="F66:F129" si="10">IFERROR(VLOOKUP(E66,$R$5:$U$112,2,FALSE),"")</f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6614</v>
      </c>
      <c r="S66" s="5" t="s">
        <v>1704</v>
      </c>
      <c r="T66" s="5">
        <v>31</v>
      </c>
      <c r="U66" s="5" t="s">
        <v>91</v>
      </c>
      <c r="V66">
        <v>661</v>
      </c>
      <c r="W66">
        <v>66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8"/>
        <v/>
      </c>
      <c r="D67" s="72" t="str">
        <f t="shared" si="9"/>
        <v/>
      </c>
      <c r="E67" s="84"/>
      <c r="F67" s="122" t="str">
        <f t="shared" si="10"/>
        <v/>
      </c>
      <c r="G67" s="117"/>
      <c r="H67" s="117"/>
      <c r="I67" s="117"/>
      <c r="J67" s="84"/>
      <c r="L67" s="75" t="str">
        <f t="shared" ref="L67:L130" si="11">LEFT(E67,2)</f>
        <v/>
      </c>
      <c r="M67" s="75" t="str">
        <f t="shared" ref="M67:M130" si="12">LEFT(E67,3)</f>
        <v/>
      </c>
      <c r="R67" s="5">
        <v>6615</v>
      </c>
      <c r="S67" s="5" t="s">
        <v>18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8"/>
        <v/>
      </c>
      <c r="D68" s="72" t="str">
        <f t="shared" si="9"/>
        <v/>
      </c>
      <c r="E68" s="84"/>
      <c r="F68" s="122" t="str">
        <f t="shared" si="10"/>
        <v/>
      </c>
      <c r="G68" s="117"/>
      <c r="H68" s="117"/>
      <c r="I68" s="117"/>
      <c r="J68" s="84"/>
      <c r="L68" s="75" t="str">
        <f t="shared" si="11"/>
        <v/>
      </c>
      <c r="M68" s="75" t="str">
        <f t="shared" si="12"/>
        <v/>
      </c>
      <c r="R68" s="5">
        <v>663110000</v>
      </c>
      <c r="S68" s="5" t="s">
        <v>32</v>
      </c>
      <c r="T68" s="5">
        <v>61</v>
      </c>
      <c r="U68" s="5" t="s">
        <v>1683</v>
      </c>
      <c r="V68">
        <v>663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8"/>
        <v/>
      </c>
      <c r="D69" s="72" t="str">
        <f t="shared" si="9"/>
        <v/>
      </c>
      <c r="E69" s="84"/>
      <c r="F69" s="122" t="str">
        <f t="shared" si="10"/>
        <v/>
      </c>
      <c r="G69" s="117"/>
      <c r="H69" s="117"/>
      <c r="I69" s="117"/>
      <c r="J69" s="84"/>
      <c r="L69" s="75" t="str">
        <f t="shared" si="11"/>
        <v/>
      </c>
      <c r="M69" s="75" t="str">
        <f t="shared" si="12"/>
        <v/>
      </c>
      <c r="R69" s="5">
        <v>663120000</v>
      </c>
      <c r="S69" s="5" t="s">
        <v>33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8"/>
        <v/>
      </c>
      <c r="D70" s="72" t="str">
        <f t="shared" si="9"/>
        <v/>
      </c>
      <c r="E70" s="84"/>
      <c r="F70" s="122" t="str">
        <f t="shared" si="10"/>
        <v/>
      </c>
      <c r="G70" s="117"/>
      <c r="H70" s="117"/>
      <c r="I70" s="117"/>
      <c r="J70" s="84"/>
      <c r="L70" s="75" t="str">
        <f t="shared" si="11"/>
        <v/>
      </c>
      <c r="M70" s="75" t="str">
        <f t="shared" si="12"/>
        <v/>
      </c>
      <c r="R70" s="5">
        <v>663130000</v>
      </c>
      <c r="S70" s="5" t="s">
        <v>34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8"/>
        <v/>
      </c>
      <c r="D71" s="72" t="str">
        <f t="shared" si="9"/>
        <v/>
      </c>
      <c r="E71" s="84"/>
      <c r="F71" s="122" t="str">
        <f t="shared" si="10"/>
        <v/>
      </c>
      <c r="G71" s="117"/>
      <c r="H71" s="117"/>
      <c r="I71" s="117"/>
      <c r="J71" s="84"/>
      <c r="L71" s="75" t="str">
        <f t="shared" si="11"/>
        <v/>
      </c>
      <c r="M71" s="75" t="str">
        <f t="shared" si="12"/>
        <v/>
      </c>
      <c r="R71" s="5">
        <v>663140000</v>
      </c>
      <c r="S71" s="5" t="s">
        <v>1684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8"/>
        <v/>
      </c>
      <c r="D72" s="72" t="str">
        <f t="shared" si="9"/>
        <v/>
      </c>
      <c r="E72" s="84"/>
      <c r="F72" s="122" t="str">
        <f t="shared" si="10"/>
        <v/>
      </c>
      <c r="G72" s="117"/>
      <c r="H72" s="117"/>
      <c r="I72" s="117"/>
      <c r="J72" s="84"/>
      <c r="L72" s="75" t="str">
        <f t="shared" si="11"/>
        <v/>
      </c>
      <c r="M72" s="75" t="str">
        <f t="shared" si="12"/>
        <v/>
      </c>
      <c r="R72" s="5">
        <v>663210000</v>
      </c>
      <c r="S72" s="5" t="s">
        <v>1685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8"/>
        <v/>
      </c>
      <c r="D73" s="72" t="str">
        <f t="shared" si="9"/>
        <v/>
      </c>
      <c r="E73" s="84"/>
      <c r="F73" s="122" t="str">
        <f t="shared" si="10"/>
        <v/>
      </c>
      <c r="G73" s="117"/>
      <c r="H73" s="117"/>
      <c r="I73" s="117"/>
      <c r="J73" s="84"/>
      <c r="L73" s="75" t="str">
        <f t="shared" si="11"/>
        <v/>
      </c>
      <c r="M73" s="75" t="str">
        <f t="shared" si="12"/>
        <v/>
      </c>
      <c r="R73" s="5">
        <v>663220000</v>
      </c>
      <c r="S73" s="5" t="s">
        <v>35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8"/>
        <v/>
      </c>
      <c r="D74" s="72" t="str">
        <f t="shared" si="9"/>
        <v/>
      </c>
      <c r="E74" s="84"/>
      <c r="F74" s="122" t="str">
        <f t="shared" si="10"/>
        <v/>
      </c>
      <c r="G74" s="117"/>
      <c r="H74" s="117"/>
      <c r="I74" s="117"/>
      <c r="J74" s="84"/>
      <c r="L74" s="75" t="str">
        <f t="shared" si="11"/>
        <v/>
      </c>
      <c r="M74" s="75" t="str">
        <f t="shared" si="12"/>
        <v/>
      </c>
      <c r="R74" s="5">
        <v>663230000</v>
      </c>
      <c r="S74" s="5" t="s">
        <v>36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8"/>
        <v/>
      </c>
      <c r="D75" s="72" t="str">
        <f t="shared" si="9"/>
        <v/>
      </c>
      <c r="E75" s="84"/>
      <c r="F75" s="122" t="str">
        <f t="shared" si="10"/>
        <v/>
      </c>
      <c r="G75" s="117"/>
      <c r="H75" s="117"/>
      <c r="I75" s="117"/>
      <c r="J75" s="84"/>
      <c r="L75" s="75" t="str">
        <f t="shared" si="11"/>
        <v/>
      </c>
      <c r="M75" s="75" t="str">
        <f t="shared" si="12"/>
        <v/>
      </c>
      <c r="R75" s="5">
        <v>663240000</v>
      </c>
      <c r="S75" s="5" t="s">
        <v>1686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8"/>
        <v/>
      </c>
      <c r="D76" s="72" t="str">
        <f t="shared" si="9"/>
        <v/>
      </c>
      <c r="E76" s="84"/>
      <c r="F76" s="122" t="str">
        <f t="shared" si="10"/>
        <v/>
      </c>
      <c r="G76" s="117"/>
      <c r="H76" s="117"/>
      <c r="I76" s="117"/>
      <c r="J76" s="84"/>
      <c r="L76" s="75" t="str">
        <f t="shared" si="11"/>
        <v/>
      </c>
      <c r="M76" s="75" t="str">
        <f t="shared" si="12"/>
        <v/>
      </c>
      <c r="R76" s="5">
        <v>663121000</v>
      </c>
      <c r="S76" s="5" t="s">
        <v>5261</v>
      </c>
      <c r="T76" s="5">
        <v>63</v>
      </c>
      <c r="U76" s="5" t="s">
        <v>5265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8"/>
        <v/>
      </c>
      <c r="D77" s="72" t="str">
        <f t="shared" si="9"/>
        <v/>
      </c>
      <c r="E77" s="84"/>
      <c r="F77" s="122" t="str">
        <f t="shared" si="10"/>
        <v/>
      </c>
      <c r="G77" s="117"/>
      <c r="H77" s="117"/>
      <c r="I77" s="117"/>
      <c r="J77" s="84"/>
      <c r="L77" s="75" t="str">
        <f t="shared" si="11"/>
        <v/>
      </c>
      <c r="M77" s="75" t="str">
        <f t="shared" si="12"/>
        <v/>
      </c>
      <c r="R77" s="5">
        <v>663131000</v>
      </c>
      <c r="S77" s="5" t="s">
        <v>5262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8"/>
        <v/>
      </c>
      <c r="D78" s="72" t="str">
        <f t="shared" si="9"/>
        <v/>
      </c>
      <c r="E78" s="84"/>
      <c r="F78" s="122" t="str">
        <f t="shared" si="10"/>
        <v/>
      </c>
      <c r="G78" s="117"/>
      <c r="H78" s="117"/>
      <c r="I78" s="117"/>
      <c r="J78" s="84"/>
      <c r="L78" s="75" t="str">
        <f t="shared" si="11"/>
        <v/>
      </c>
      <c r="M78" s="75" t="str">
        <f t="shared" si="12"/>
        <v/>
      </c>
      <c r="R78" s="5">
        <v>663221000</v>
      </c>
      <c r="S78" s="5" t="s">
        <v>5263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8"/>
        <v/>
      </c>
      <c r="D79" s="72" t="str">
        <f t="shared" si="9"/>
        <v/>
      </c>
      <c r="E79" s="84"/>
      <c r="F79" s="122" t="str">
        <f t="shared" si="10"/>
        <v/>
      </c>
      <c r="G79" s="117"/>
      <c r="H79" s="117"/>
      <c r="I79" s="117"/>
      <c r="J79" s="84"/>
      <c r="L79" s="75" t="str">
        <f t="shared" si="11"/>
        <v/>
      </c>
      <c r="M79" s="75" t="str">
        <f t="shared" si="12"/>
        <v/>
      </c>
      <c r="R79" s="5">
        <v>663231000</v>
      </c>
      <c r="S79" s="5" t="s">
        <v>5264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8"/>
        <v/>
      </c>
      <c r="D80" s="72" t="str">
        <f t="shared" si="9"/>
        <v/>
      </c>
      <c r="E80" s="84"/>
      <c r="F80" s="122" t="str">
        <f t="shared" si="10"/>
        <v/>
      </c>
      <c r="G80" s="117"/>
      <c r="H80" s="117"/>
      <c r="I80" s="117"/>
      <c r="J80" s="84"/>
      <c r="L80" s="75" t="str">
        <f t="shared" si="11"/>
        <v/>
      </c>
      <c r="M80" s="75" t="str">
        <f t="shared" si="12"/>
        <v/>
      </c>
      <c r="R80" s="5">
        <v>681910043</v>
      </c>
      <c r="S80" s="5" t="s">
        <v>215</v>
      </c>
      <c r="T80" s="5">
        <v>43</v>
      </c>
      <c r="U80" s="5" t="s">
        <v>96</v>
      </c>
      <c r="V80">
        <v>681</v>
      </c>
      <c r="W80">
        <v>68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8"/>
        <v/>
      </c>
      <c r="D81" s="72" t="str">
        <f t="shared" si="9"/>
        <v/>
      </c>
      <c r="E81" s="84"/>
      <c r="F81" s="122" t="str">
        <f t="shared" si="10"/>
        <v/>
      </c>
      <c r="G81" s="117"/>
      <c r="H81" s="117"/>
      <c r="I81" s="117"/>
      <c r="J81" s="84"/>
      <c r="L81" s="75" t="str">
        <f t="shared" si="11"/>
        <v/>
      </c>
      <c r="M81" s="75" t="str">
        <f t="shared" si="12"/>
        <v/>
      </c>
      <c r="R81" s="5">
        <v>683110031</v>
      </c>
      <c r="S81" s="5" t="s">
        <v>1687</v>
      </c>
      <c r="T81" s="5">
        <v>31</v>
      </c>
      <c r="U81" s="5" t="s">
        <v>91</v>
      </c>
      <c r="V81">
        <v>683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8"/>
        <v/>
      </c>
      <c r="D82" s="72" t="str">
        <f t="shared" si="9"/>
        <v/>
      </c>
      <c r="E82" s="84"/>
      <c r="F82" s="122" t="str">
        <f t="shared" si="10"/>
        <v/>
      </c>
      <c r="G82" s="117"/>
      <c r="H82" s="117"/>
      <c r="I82" s="117"/>
      <c r="J82" s="84"/>
      <c r="L82" s="75" t="str">
        <f t="shared" si="11"/>
        <v/>
      </c>
      <c r="M82" s="75" t="str">
        <f t="shared" si="12"/>
        <v/>
      </c>
      <c r="R82" s="5">
        <v>683110043</v>
      </c>
      <c r="S82" s="5" t="s">
        <v>216</v>
      </c>
      <c r="T82" s="5">
        <v>43</v>
      </c>
      <c r="U82" s="5" t="s">
        <v>96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8"/>
        <v/>
      </c>
      <c r="D83" s="72" t="str">
        <f t="shared" si="9"/>
        <v/>
      </c>
      <c r="E83" s="84"/>
      <c r="F83" s="122" t="str">
        <f t="shared" si="10"/>
        <v/>
      </c>
      <c r="G83" s="117"/>
      <c r="H83" s="117"/>
      <c r="I83" s="117"/>
      <c r="J83" s="84"/>
      <c r="L83" s="75" t="str">
        <f t="shared" si="11"/>
        <v/>
      </c>
      <c r="M83" s="75" t="str">
        <f t="shared" si="12"/>
        <v/>
      </c>
      <c r="R83" s="5">
        <v>711110071</v>
      </c>
      <c r="S83" s="5" t="s">
        <v>1688</v>
      </c>
      <c r="T83" s="5">
        <v>71</v>
      </c>
      <c r="U83" s="5" t="s">
        <v>1689</v>
      </c>
      <c r="V83">
        <v>711</v>
      </c>
      <c r="W83">
        <v>71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8"/>
        <v/>
      </c>
      <c r="D84" s="72" t="str">
        <f t="shared" si="9"/>
        <v/>
      </c>
      <c r="E84" s="84"/>
      <c r="F84" s="122" t="str">
        <f t="shared" si="10"/>
        <v/>
      </c>
      <c r="G84" s="117"/>
      <c r="H84" s="117"/>
      <c r="I84" s="117"/>
      <c r="J84" s="84"/>
      <c r="L84" s="75" t="str">
        <f t="shared" si="11"/>
        <v/>
      </c>
      <c r="M84" s="75" t="str">
        <f t="shared" si="12"/>
        <v/>
      </c>
      <c r="R84" s="5">
        <v>711120071</v>
      </c>
      <c r="S84" s="5" t="s">
        <v>1690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8"/>
        <v/>
      </c>
      <c r="D85" s="72" t="str">
        <f t="shared" si="9"/>
        <v/>
      </c>
      <c r="E85" s="84"/>
      <c r="F85" s="122" t="str">
        <f t="shared" si="10"/>
        <v/>
      </c>
      <c r="G85" s="117"/>
      <c r="H85" s="117"/>
      <c r="I85" s="117"/>
      <c r="J85" s="84"/>
      <c r="L85" s="75" t="str">
        <f t="shared" si="11"/>
        <v/>
      </c>
      <c r="M85" s="75" t="str">
        <f t="shared" si="12"/>
        <v/>
      </c>
      <c r="R85" s="5">
        <v>712410071</v>
      </c>
      <c r="S85" s="5" t="s">
        <v>218</v>
      </c>
      <c r="T85" s="5">
        <v>71</v>
      </c>
      <c r="U85" s="5" t="s">
        <v>1689</v>
      </c>
      <c r="V85">
        <v>712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8"/>
        <v/>
      </c>
      <c r="D86" s="72" t="str">
        <f t="shared" si="9"/>
        <v/>
      </c>
      <c r="E86" s="84"/>
      <c r="F86" s="122" t="str">
        <f t="shared" si="10"/>
        <v/>
      </c>
      <c r="G86" s="117"/>
      <c r="H86" s="117"/>
      <c r="I86" s="117"/>
      <c r="J86" s="84"/>
      <c r="L86" s="75" t="str">
        <f t="shared" si="11"/>
        <v/>
      </c>
      <c r="M86" s="75" t="str">
        <f t="shared" si="12"/>
        <v/>
      </c>
      <c r="R86" s="5">
        <v>712490071</v>
      </c>
      <c r="S86" s="5" t="s">
        <v>219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8"/>
        <v/>
      </c>
      <c r="D87" s="72" t="str">
        <f t="shared" si="9"/>
        <v/>
      </c>
      <c r="E87" s="84"/>
      <c r="F87" s="122" t="str">
        <f t="shared" si="10"/>
        <v/>
      </c>
      <c r="G87" s="117"/>
      <c r="H87" s="117"/>
      <c r="I87" s="117"/>
      <c r="J87" s="84"/>
      <c r="L87" s="75" t="str">
        <f t="shared" si="11"/>
        <v/>
      </c>
      <c r="M87" s="75" t="str">
        <f t="shared" si="12"/>
        <v/>
      </c>
      <c r="R87" s="5">
        <v>721110071</v>
      </c>
      <c r="S87" s="5" t="s">
        <v>220</v>
      </c>
      <c r="T87" s="5">
        <v>71</v>
      </c>
      <c r="U87" s="5" t="s">
        <v>1689</v>
      </c>
      <c r="V87">
        <v>721</v>
      </c>
      <c r="W87">
        <v>72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8"/>
        <v/>
      </c>
      <c r="D88" s="72" t="str">
        <f t="shared" si="9"/>
        <v/>
      </c>
      <c r="E88" s="84"/>
      <c r="F88" s="122" t="str">
        <f t="shared" si="10"/>
        <v/>
      </c>
      <c r="G88" s="117"/>
      <c r="H88" s="117"/>
      <c r="I88" s="117"/>
      <c r="J88" s="84"/>
      <c r="L88" s="75" t="str">
        <f t="shared" si="11"/>
        <v/>
      </c>
      <c r="M88" s="75" t="str">
        <f t="shared" si="12"/>
        <v/>
      </c>
      <c r="R88" s="5">
        <v>721190071</v>
      </c>
      <c r="S88" s="5" t="s">
        <v>221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8"/>
        <v/>
      </c>
      <c r="D89" s="72" t="str">
        <f t="shared" si="9"/>
        <v/>
      </c>
      <c r="E89" s="84"/>
      <c r="F89" s="122" t="str">
        <f t="shared" si="10"/>
        <v/>
      </c>
      <c r="G89" s="117"/>
      <c r="H89" s="117"/>
      <c r="I89" s="117"/>
      <c r="J89" s="84"/>
      <c r="L89" s="75" t="str">
        <f t="shared" si="11"/>
        <v/>
      </c>
      <c r="M89" s="75" t="str">
        <f t="shared" si="12"/>
        <v/>
      </c>
      <c r="R89" s="5">
        <v>721230071</v>
      </c>
      <c r="S89" s="5" t="s">
        <v>222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8"/>
        <v/>
      </c>
      <c r="D90" s="72" t="str">
        <f t="shared" si="9"/>
        <v/>
      </c>
      <c r="E90" s="84"/>
      <c r="F90" s="122" t="str">
        <f t="shared" si="10"/>
        <v/>
      </c>
      <c r="G90" s="117"/>
      <c r="H90" s="117"/>
      <c r="I90" s="117"/>
      <c r="J90" s="84"/>
      <c r="L90" s="75" t="str">
        <f t="shared" si="11"/>
        <v/>
      </c>
      <c r="M90" s="75" t="str">
        <f t="shared" si="12"/>
        <v/>
      </c>
      <c r="R90" s="5">
        <v>721290071</v>
      </c>
      <c r="S90" s="5" t="s">
        <v>223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8"/>
        <v/>
      </c>
      <c r="D91" s="72" t="str">
        <f t="shared" si="9"/>
        <v/>
      </c>
      <c r="E91" s="84"/>
      <c r="F91" s="122" t="str">
        <f t="shared" si="10"/>
        <v/>
      </c>
      <c r="G91" s="117"/>
      <c r="H91" s="117"/>
      <c r="I91" s="117"/>
      <c r="J91" s="84"/>
      <c r="L91" s="75" t="str">
        <f t="shared" si="11"/>
        <v/>
      </c>
      <c r="M91" s="75" t="str">
        <f t="shared" si="12"/>
        <v/>
      </c>
      <c r="R91" s="5">
        <v>722110071</v>
      </c>
      <c r="S91" s="5" t="s">
        <v>224</v>
      </c>
      <c r="T91" s="5">
        <v>71</v>
      </c>
      <c r="U91" s="5" t="s">
        <v>1689</v>
      </c>
      <c r="V91">
        <v>722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8"/>
        <v/>
      </c>
      <c r="D92" s="72" t="str">
        <f t="shared" si="9"/>
        <v/>
      </c>
      <c r="E92" s="84"/>
      <c r="F92" s="122" t="str">
        <f t="shared" si="10"/>
        <v/>
      </c>
      <c r="G92" s="117"/>
      <c r="H92" s="117"/>
      <c r="I92" s="117"/>
      <c r="J92" s="84"/>
      <c r="L92" s="75" t="str">
        <f t="shared" si="11"/>
        <v/>
      </c>
      <c r="M92" s="75" t="str">
        <f t="shared" si="12"/>
        <v/>
      </c>
      <c r="R92" s="5">
        <v>722120071</v>
      </c>
      <c r="S92" s="5" t="s">
        <v>1691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8"/>
        <v/>
      </c>
      <c r="D93" s="72" t="str">
        <f t="shared" si="9"/>
        <v/>
      </c>
      <c r="E93" s="84"/>
      <c r="F93" s="122" t="str">
        <f t="shared" si="10"/>
        <v/>
      </c>
      <c r="G93" s="117"/>
      <c r="H93" s="117"/>
      <c r="I93" s="117"/>
      <c r="J93" s="84"/>
      <c r="L93" s="75" t="str">
        <f t="shared" si="11"/>
        <v/>
      </c>
      <c r="M93" s="75" t="str">
        <f t="shared" si="12"/>
        <v/>
      </c>
      <c r="R93" s="5">
        <v>722190071</v>
      </c>
      <c r="S93" s="5" t="s">
        <v>225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8"/>
        <v/>
      </c>
      <c r="D94" s="72" t="str">
        <f t="shared" si="9"/>
        <v/>
      </c>
      <c r="E94" s="84"/>
      <c r="F94" s="122" t="str">
        <f t="shared" si="10"/>
        <v/>
      </c>
      <c r="G94" s="117"/>
      <c r="H94" s="117"/>
      <c r="I94" s="117"/>
      <c r="J94" s="84"/>
      <c r="L94" s="75" t="str">
        <f t="shared" si="11"/>
        <v/>
      </c>
      <c r="M94" s="75" t="str">
        <f t="shared" si="12"/>
        <v/>
      </c>
      <c r="R94" s="5">
        <v>722620071</v>
      </c>
      <c r="S94" s="5" t="s">
        <v>226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8"/>
        <v/>
      </c>
      <c r="D95" s="72" t="str">
        <f t="shared" si="9"/>
        <v/>
      </c>
      <c r="E95" s="84"/>
      <c r="F95" s="122" t="str">
        <f t="shared" si="10"/>
        <v/>
      </c>
      <c r="G95" s="117"/>
      <c r="H95" s="117"/>
      <c r="I95" s="117"/>
      <c r="J95" s="84"/>
      <c r="L95" s="75" t="str">
        <f t="shared" si="11"/>
        <v/>
      </c>
      <c r="M95" s="75" t="str">
        <f t="shared" si="12"/>
        <v/>
      </c>
      <c r="R95" s="5">
        <v>722720071</v>
      </c>
      <c r="S95" s="5" t="s">
        <v>1787</v>
      </c>
      <c r="T95" s="5">
        <v>71</v>
      </c>
      <c r="U95" s="5" t="s">
        <v>173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8"/>
        <v/>
      </c>
      <c r="D96" s="72" t="str">
        <f t="shared" si="9"/>
        <v/>
      </c>
      <c r="E96" s="84"/>
      <c r="F96" s="122" t="str">
        <f t="shared" si="10"/>
        <v/>
      </c>
      <c r="G96" s="117"/>
      <c r="H96" s="117"/>
      <c r="I96" s="117"/>
      <c r="J96" s="84"/>
      <c r="L96" s="75" t="str">
        <f t="shared" si="11"/>
        <v/>
      </c>
      <c r="M96" s="75" t="str">
        <f t="shared" si="12"/>
        <v/>
      </c>
      <c r="R96" s="5">
        <v>722730071</v>
      </c>
      <c r="S96" s="5" t="s">
        <v>227</v>
      </c>
      <c r="T96" s="5">
        <v>71</v>
      </c>
      <c r="U96" s="5" t="s">
        <v>1689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8"/>
        <v/>
      </c>
      <c r="D97" s="72" t="str">
        <f t="shared" si="9"/>
        <v/>
      </c>
      <c r="E97" s="84"/>
      <c r="F97" s="122" t="str">
        <f t="shared" si="10"/>
        <v/>
      </c>
      <c r="G97" s="117"/>
      <c r="H97" s="117"/>
      <c r="I97" s="117"/>
      <c r="J97" s="84"/>
      <c r="L97" s="75" t="str">
        <f t="shared" si="11"/>
        <v/>
      </c>
      <c r="M97" s="75" t="str">
        <f t="shared" si="12"/>
        <v/>
      </c>
      <c r="R97" s="5">
        <v>723110071</v>
      </c>
      <c r="S97" s="5" t="s">
        <v>228</v>
      </c>
      <c r="T97" s="5">
        <v>71</v>
      </c>
      <c r="U97" s="5" t="s">
        <v>1689</v>
      </c>
      <c r="V97">
        <v>723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8"/>
        <v/>
      </c>
      <c r="D98" s="72" t="str">
        <f t="shared" si="9"/>
        <v/>
      </c>
      <c r="E98" s="84"/>
      <c r="F98" s="122" t="str">
        <f t="shared" si="10"/>
        <v/>
      </c>
      <c r="G98" s="117"/>
      <c r="H98" s="117"/>
      <c r="I98" s="117"/>
      <c r="J98" s="84"/>
      <c r="L98" s="75" t="str">
        <f t="shared" si="11"/>
        <v/>
      </c>
      <c r="M98" s="75" t="str">
        <f t="shared" si="12"/>
        <v/>
      </c>
      <c r="R98" s="5">
        <v>723130071</v>
      </c>
      <c r="S98" s="5" t="s">
        <v>1692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8"/>
        <v/>
      </c>
      <c r="D99" s="72" t="str">
        <f t="shared" si="9"/>
        <v/>
      </c>
      <c r="E99" s="84"/>
      <c r="F99" s="122" t="str">
        <f t="shared" si="10"/>
        <v/>
      </c>
      <c r="G99" s="117"/>
      <c r="H99" s="117"/>
      <c r="I99" s="117"/>
      <c r="J99" s="84"/>
      <c r="L99" s="75" t="str">
        <f t="shared" si="11"/>
        <v/>
      </c>
      <c r="M99" s="75" t="str">
        <f t="shared" si="12"/>
        <v/>
      </c>
      <c r="R99" s="5">
        <v>723140071</v>
      </c>
      <c r="S99" s="5" t="s">
        <v>1693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8"/>
        <v/>
      </c>
      <c r="D100" s="72" t="str">
        <f t="shared" si="9"/>
        <v/>
      </c>
      <c r="E100" s="84"/>
      <c r="F100" s="122" t="str">
        <f t="shared" si="10"/>
        <v/>
      </c>
      <c r="G100" s="117"/>
      <c r="H100" s="117"/>
      <c r="I100" s="117"/>
      <c r="J100" s="84"/>
      <c r="L100" s="75" t="str">
        <f t="shared" si="11"/>
        <v/>
      </c>
      <c r="M100" s="75" t="str">
        <f t="shared" si="12"/>
        <v/>
      </c>
      <c r="R100" s="5">
        <v>723150071</v>
      </c>
      <c r="S100" s="5" t="s">
        <v>1694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8"/>
        <v/>
      </c>
      <c r="D101" s="72" t="str">
        <f t="shared" si="9"/>
        <v/>
      </c>
      <c r="E101" s="84"/>
      <c r="F101" s="122" t="str">
        <f t="shared" si="10"/>
        <v/>
      </c>
      <c r="G101" s="117"/>
      <c r="H101" s="117"/>
      <c r="I101" s="117"/>
      <c r="J101" s="84"/>
      <c r="L101" s="75" t="str">
        <f t="shared" si="11"/>
        <v/>
      </c>
      <c r="M101" s="75" t="str">
        <f t="shared" si="12"/>
        <v/>
      </c>
      <c r="R101" s="5">
        <v>723160071</v>
      </c>
      <c r="S101" s="5" t="s">
        <v>1695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8"/>
        <v/>
      </c>
      <c r="D102" s="72" t="str">
        <f t="shared" si="9"/>
        <v/>
      </c>
      <c r="E102" s="84"/>
      <c r="F102" s="122" t="str">
        <f t="shared" si="10"/>
        <v/>
      </c>
      <c r="G102" s="117"/>
      <c r="H102" s="117"/>
      <c r="I102" s="117"/>
      <c r="J102" s="84"/>
      <c r="L102" s="75" t="str">
        <f t="shared" si="11"/>
        <v/>
      </c>
      <c r="M102" s="75" t="str">
        <f t="shared" si="12"/>
        <v/>
      </c>
      <c r="R102" s="5">
        <v>723190071</v>
      </c>
      <c r="S102" s="5" t="s">
        <v>1788</v>
      </c>
      <c r="T102" s="5">
        <v>71</v>
      </c>
      <c r="U102" s="5" t="s">
        <v>173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8"/>
        <v/>
      </c>
      <c r="D103" s="72" t="str">
        <f t="shared" si="9"/>
        <v/>
      </c>
      <c r="E103" s="84"/>
      <c r="F103" s="122" t="str">
        <f t="shared" si="10"/>
        <v/>
      </c>
      <c r="G103" s="117"/>
      <c r="H103" s="117"/>
      <c r="I103" s="117"/>
      <c r="J103" s="84"/>
      <c r="L103" s="75" t="str">
        <f t="shared" si="11"/>
        <v/>
      </c>
      <c r="M103" s="75" t="str">
        <f t="shared" si="12"/>
        <v/>
      </c>
      <c r="R103" s="5">
        <v>723310071</v>
      </c>
      <c r="S103" s="5" t="s">
        <v>1696</v>
      </c>
      <c r="T103" s="5">
        <v>71</v>
      </c>
      <c r="U103" s="5" t="s">
        <v>1689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8"/>
        <v/>
      </c>
      <c r="D104" s="72" t="str">
        <f t="shared" si="9"/>
        <v/>
      </c>
      <c r="E104" s="84"/>
      <c r="F104" s="122" t="str">
        <f t="shared" si="10"/>
        <v/>
      </c>
      <c r="G104" s="117"/>
      <c r="H104" s="117"/>
      <c r="I104" s="117"/>
      <c r="J104" s="84"/>
      <c r="L104" s="75" t="str">
        <f t="shared" si="11"/>
        <v/>
      </c>
      <c r="M104" s="75" t="str">
        <f t="shared" si="12"/>
        <v/>
      </c>
      <c r="R104" s="5">
        <v>725210071</v>
      </c>
      <c r="S104" s="5" t="s">
        <v>229</v>
      </c>
      <c r="T104" s="5">
        <v>71</v>
      </c>
      <c r="U104" s="5" t="s">
        <v>1689</v>
      </c>
      <c r="V104">
        <v>725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8"/>
        <v/>
      </c>
      <c r="D105" s="72" t="str">
        <f t="shared" si="9"/>
        <v/>
      </c>
      <c r="E105" s="84"/>
      <c r="F105" s="122" t="str">
        <f t="shared" si="10"/>
        <v/>
      </c>
      <c r="G105" s="117"/>
      <c r="H105" s="117"/>
      <c r="I105" s="117"/>
      <c r="J105" s="84"/>
      <c r="L105" s="75" t="str">
        <f t="shared" si="11"/>
        <v/>
      </c>
      <c r="M105" s="75" t="str">
        <f t="shared" si="12"/>
        <v/>
      </c>
      <c r="R105" s="5">
        <v>818110043</v>
      </c>
      <c r="S105" s="5" t="s">
        <v>1789</v>
      </c>
      <c r="T105" s="5">
        <v>43</v>
      </c>
      <c r="U105" s="5" t="s">
        <v>96</v>
      </c>
      <c r="V105">
        <v>818</v>
      </c>
      <c r="W105">
        <v>81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8"/>
        <v/>
      </c>
      <c r="D106" s="72" t="str">
        <f t="shared" si="9"/>
        <v/>
      </c>
      <c r="E106" s="84"/>
      <c r="F106" s="122" t="str">
        <f t="shared" si="10"/>
        <v/>
      </c>
      <c r="G106" s="117"/>
      <c r="H106" s="117"/>
      <c r="I106" s="117"/>
      <c r="J106" s="84"/>
      <c r="L106" s="75" t="str">
        <f t="shared" si="11"/>
        <v/>
      </c>
      <c r="M106" s="75" t="str">
        <f t="shared" si="12"/>
        <v/>
      </c>
      <c r="R106" s="5">
        <v>818120043</v>
      </c>
      <c r="S106" s="5" t="s">
        <v>1227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8"/>
        <v/>
      </c>
      <c r="D107" s="72" t="str">
        <f t="shared" si="9"/>
        <v/>
      </c>
      <c r="E107" s="84"/>
      <c r="F107" s="122" t="str">
        <f t="shared" si="10"/>
        <v/>
      </c>
      <c r="G107" s="117"/>
      <c r="H107" s="117"/>
      <c r="I107" s="117"/>
      <c r="J107" s="84"/>
      <c r="L107" s="75" t="str">
        <f t="shared" si="11"/>
        <v/>
      </c>
      <c r="M107" s="75" t="str">
        <f t="shared" si="12"/>
        <v/>
      </c>
      <c r="R107" s="5">
        <v>832120043</v>
      </c>
      <c r="S107" s="5" t="s">
        <v>1228</v>
      </c>
      <c r="T107" s="5">
        <v>43</v>
      </c>
      <c r="U107" s="5" t="s">
        <v>96</v>
      </c>
      <c r="V107">
        <v>832</v>
      </c>
      <c r="W107">
        <v>83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8"/>
        <v/>
      </c>
      <c r="D108" s="72" t="str">
        <f t="shared" si="9"/>
        <v/>
      </c>
      <c r="E108" s="84"/>
      <c r="F108" s="122" t="str">
        <f t="shared" si="10"/>
        <v/>
      </c>
      <c r="G108" s="117"/>
      <c r="H108" s="117"/>
      <c r="I108" s="117"/>
      <c r="J108" s="84"/>
      <c r="L108" s="75" t="str">
        <f t="shared" si="11"/>
        <v/>
      </c>
      <c r="M108" s="75" t="str">
        <f t="shared" si="12"/>
        <v/>
      </c>
      <c r="R108" s="5">
        <v>833130043</v>
      </c>
      <c r="S108" s="5" t="s">
        <v>1698</v>
      </c>
      <c r="T108" s="5">
        <v>43</v>
      </c>
      <c r="U108" s="5" t="s">
        <v>96</v>
      </c>
      <c r="V108">
        <v>833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8"/>
        <v/>
      </c>
      <c r="D109" s="72" t="str">
        <f t="shared" si="9"/>
        <v/>
      </c>
      <c r="E109" s="84"/>
      <c r="F109" s="122" t="str">
        <f t="shared" si="10"/>
        <v/>
      </c>
      <c r="G109" s="117"/>
      <c r="H109" s="117"/>
      <c r="I109" s="117"/>
      <c r="J109" s="84"/>
      <c r="L109" s="75" t="str">
        <f t="shared" si="11"/>
        <v/>
      </c>
      <c r="M109" s="75" t="str">
        <f t="shared" si="12"/>
        <v/>
      </c>
      <c r="R109" s="5">
        <v>841320000</v>
      </c>
      <c r="S109" s="5" t="s">
        <v>1785</v>
      </c>
      <c r="T109" s="5">
        <v>81</v>
      </c>
      <c r="U109" s="5" t="s">
        <v>1697</v>
      </c>
      <c r="V109">
        <v>841</v>
      </c>
      <c r="W109">
        <v>84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8"/>
        <v/>
      </c>
      <c r="D110" s="72" t="str">
        <f t="shared" si="9"/>
        <v/>
      </c>
      <c r="E110" s="84"/>
      <c r="F110" s="122" t="str">
        <f t="shared" si="10"/>
        <v/>
      </c>
      <c r="G110" s="117"/>
      <c r="H110" s="117"/>
      <c r="I110" s="117"/>
      <c r="J110" s="84"/>
      <c r="L110" s="75" t="str">
        <f t="shared" si="11"/>
        <v/>
      </c>
      <c r="M110" s="75" t="str">
        <f t="shared" si="12"/>
        <v/>
      </c>
      <c r="R110" s="221">
        <v>841320150</v>
      </c>
      <c r="S110" s="221" t="s">
        <v>3528</v>
      </c>
      <c r="T110" s="221">
        <v>81</v>
      </c>
      <c r="U110" s="221" t="s">
        <v>1697</v>
      </c>
      <c r="V110" s="142">
        <v>841</v>
      </c>
      <c r="W110" s="142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8"/>
        <v/>
      </c>
      <c r="D111" s="72" t="str">
        <f t="shared" si="9"/>
        <v/>
      </c>
      <c r="E111" s="84"/>
      <c r="F111" s="122" t="str">
        <f t="shared" si="10"/>
        <v/>
      </c>
      <c r="G111" s="117"/>
      <c r="H111" s="117"/>
      <c r="I111" s="117"/>
      <c r="J111" s="84"/>
      <c r="L111" s="75" t="str">
        <f t="shared" si="11"/>
        <v/>
      </c>
      <c r="M111" s="75" t="str">
        <f t="shared" si="12"/>
        <v/>
      </c>
      <c r="R111" s="221">
        <v>844320000</v>
      </c>
      <c r="S111" s="221" t="s">
        <v>5260</v>
      </c>
      <c r="T111" s="221">
        <v>81</v>
      </c>
      <c r="U111" s="221" t="s">
        <v>1697</v>
      </c>
      <c r="V111" s="142">
        <v>844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8"/>
        <v/>
      </c>
      <c r="D112" s="72" t="str">
        <f t="shared" si="9"/>
        <v/>
      </c>
      <c r="E112" s="84"/>
      <c r="F112" s="122" t="str">
        <f t="shared" si="10"/>
        <v/>
      </c>
      <c r="G112" s="117"/>
      <c r="H112" s="117"/>
      <c r="I112" s="117"/>
      <c r="J112" s="84"/>
      <c r="L112" s="75" t="str">
        <f t="shared" si="11"/>
        <v/>
      </c>
      <c r="M112" s="75" t="str">
        <f t="shared" si="12"/>
        <v/>
      </c>
      <c r="R112" s="5">
        <v>842220081</v>
      </c>
      <c r="S112" s="5" t="s">
        <v>1699</v>
      </c>
      <c r="T112" s="5">
        <v>81</v>
      </c>
      <c r="U112" s="5" t="s">
        <v>1697</v>
      </c>
      <c r="V112">
        <v>842</v>
      </c>
      <c r="W112">
        <v>84</v>
      </c>
    </row>
    <row r="113" spans="1:1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8"/>
        <v/>
      </c>
      <c r="D113" s="72" t="str">
        <f t="shared" si="9"/>
        <v/>
      </c>
      <c r="E113" s="84"/>
      <c r="F113" s="122" t="str">
        <f t="shared" si="10"/>
        <v/>
      </c>
      <c r="G113" s="117"/>
      <c r="H113" s="117"/>
      <c r="I113" s="117"/>
      <c r="J113" s="84"/>
      <c r="L113" s="75" t="str">
        <f t="shared" si="11"/>
        <v/>
      </c>
      <c r="M113" s="75" t="str">
        <f t="shared" si="12"/>
        <v/>
      </c>
    </row>
    <row r="114" spans="1:1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8"/>
        <v/>
      </c>
      <c r="D114" s="72" t="str">
        <f t="shared" si="9"/>
        <v/>
      </c>
      <c r="E114" s="84"/>
      <c r="F114" s="122" t="str">
        <f t="shared" si="10"/>
        <v/>
      </c>
      <c r="G114" s="117"/>
      <c r="H114" s="117"/>
      <c r="I114" s="117"/>
      <c r="J114" s="84"/>
      <c r="L114" s="75" t="str">
        <f t="shared" si="11"/>
        <v/>
      </c>
      <c r="M114" s="75" t="str">
        <f t="shared" si="12"/>
        <v/>
      </c>
    </row>
    <row r="115" spans="1:1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8"/>
        <v/>
      </c>
      <c r="D115" s="72" t="str">
        <f t="shared" si="9"/>
        <v/>
      </c>
      <c r="E115" s="84"/>
      <c r="F115" s="122" t="str">
        <f t="shared" si="10"/>
        <v/>
      </c>
      <c r="G115" s="117"/>
      <c r="H115" s="117"/>
      <c r="I115" s="117"/>
      <c r="J115" s="84"/>
      <c r="L115" s="75" t="str">
        <f t="shared" si="11"/>
        <v/>
      </c>
      <c r="M115" s="75" t="str">
        <f t="shared" si="12"/>
        <v/>
      </c>
    </row>
    <row r="116" spans="1:1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8"/>
        <v/>
      </c>
      <c r="D116" s="72" t="str">
        <f t="shared" si="9"/>
        <v/>
      </c>
      <c r="E116" s="84"/>
      <c r="F116" s="122" t="str">
        <f t="shared" si="10"/>
        <v/>
      </c>
      <c r="G116" s="117"/>
      <c r="H116" s="117"/>
      <c r="I116" s="117"/>
      <c r="J116" s="84"/>
      <c r="L116" s="75" t="str">
        <f t="shared" si="11"/>
        <v/>
      </c>
      <c r="M116" s="75" t="str">
        <f t="shared" si="12"/>
        <v/>
      </c>
    </row>
    <row r="117" spans="1:1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8"/>
        <v/>
      </c>
      <c r="D117" s="72" t="str">
        <f t="shared" si="9"/>
        <v/>
      </c>
      <c r="E117" s="84"/>
      <c r="F117" s="122" t="str">
        <f t="shared" si="10"/>
        <v/>
      </c>
      <c r="G117" s="117"/>
      <c r="H117" s="117"/>
      <c r="I117" s="117"/>
      <c r="J117" s="84"/>
      <c r="L117" s="75" t="str">
        <f t="shared" si="11"/>
        <v/>
      </c>
      <c r="M117" s="75" t="str">
        <f t="shared" si="12"/>
        <v/>
      </c>
    </row>
    <row r="118" spans="1:1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8"/>
        <v/>
      </c>
      <c r="D118" s="72" t="str">
        <f t="shared" si="9"/>
        <v/>
      </c>
      <c r="E118" s="84"/>
      <c r="F118" s="122" t="str">
        <f t="shared" si="10"/>
        <v/>
      </c>
      <c r="G118" s="117"/>
      <c r="H118" s="117"/>
      <c r="I118" s="117"/>
      <c r="J118" s="84"/>
      <c r="L118" s="75" t="str">
        <f t="shared" si="11"/>
        <v/>
      </c>
      <c r="M118" s="75" t="str">
        <f t="shared" si="12"/>
        <v/>
      </c>
    </row>
    <row r="119" spans="1:1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8"/>
        <v/>
      </c>
      <c r="D119" s="72" t="str">
        <f t="shared" si="9"/>
        <v/>
      </c>
      <c r="E119" s="84"/>
      <c r="F119" s="122" t="str">
        <f t="shared" si="10"/>
        <v/>
      </c>
      <c r="G119" s="117"/>
      <c r="H119" s="117"/>
      <c r="I119" s="117"/>
      <c r="J119" s="84"/>
      <c r="L119" s="75" t="str">
        <f t="shared" si="11"/>
        <v/>
      </c>
      <c r="M119" s="75" t="str">
        <f t="shared" si="12"/>
        <v/>
      </c>
    </row>
    <row r="120" spans="1:1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8"/>
        <v/>
      </c>
      <c r="D120" s="72" t="str">
        <f t="shared" si="9"/>
        <v/>
      </c>
      <c r="E120" s="84"/>
      <c r="F120" s="122" t="str">
        <f t="shared" si="10"/>
        <v/>
      </c>
      <c r="G120" s="117"/>
      <c r="H120" s="117"/>
      <c r="I120" s="117"/>
      <c r="J120" s="84"/>
      <c r="L120" s="75" t="str">
        <f t="shared" si="11"/>
        <v/>
      </c>
      <c r="M120" s="75" t="str">
        <f t="shared" si="12"/>
        <v/>
      </c>
    </row>
    <row r="121" spans="1:1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8"/>
        <v/>
      </c>
      <c r="D121" s="72" t="str">
        <f t="shared" si="9"/>
        <v/>
      </c>
      <c r="E121" s="84"/>
      <c r="F121" s="122" t="str">
        <f t="shared" si="10"/>
        <v/>
      </c>
      <c r="G121" s="117"/>
      <c r="H121" s="117"/>
      <c r="I121" s="117"/>
      <c r="J121" s="84"/>
      <c r="L121" s="75" t="str">
        <f t="shared" si="11"/>
        <v/>
      </c>
      <c r="M121" s="75" t="str">
        <f t="shared" si="12"/>
        <v/>
      </c>
    </row>
    <row r="122" spans="1:1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8"/>
        <v/>
      </c>
      <c r="D122" s="72" t="str">
        <f t="shared" si="9"/>
        <v/>
      </c>
      <c r="E122" s="84"/>
      <c r="F122" s="122" t="str">
        <f t="shared" si="10"/>
        <v/>
      </c>
      <c r="G122" s="117"/>
      <c r="H122" s="117"/>
      <c r="I122" s="117"/>
      <c r="J122" s="84"/>
      <c r="L122" s="75" t="str">
        <f t="shared" si="11"/>
        <v/>
      </c>
      <c r="M122" s="75" t="str">
        <f t="shared" si="12"/>
        <v/>
      </c>
    </row>
    <row r="123" spans="1:1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8"/>
        <v/>
      </c>
      <c r="D123" s="72" t="str">
        <f t="shared" si="9"/>
        <v/>
      </c>
      <c r="E123" s="84"/>
      <c r="F123" s="122" t="str">
        <f t="shared" si="10"/>
        <v/>
      </c>
      <c r="G123" s="117"/>
      <c r="H123" s="117"/>
      <c r="I123" s="117"/>
      <c r="J123" s="84"/>
      <c r="L123" s="75" t="str">
        <f t="shared" si="11"/>
        <v/>
      </c>
      <c r="M123" s="75" t="str">
        <f t="shared" si="12"/>
        <v/>
      </c>
    </row>
    <row r="124" spans="1:1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8"/>
        <v/>
      </c>
      <c r="D124" s="72" t="str">
        <f t="shared" si="9"/>
        <v/>
      </c>
      <c r="E124" s="84"/>
      <c r="F124" s="122" t="str">
        <f t="shared" si="10"/>
        <v/>
      </c>
      <c r="G124" s="117"/>
      <c r="H124" s="117"/>
      <c r="I124" s="117"/>
      <c r="J124" s="84"/>
      <c r="L124" s="75" t="str">
        <f t="shared" si="11"/>
        <v/>
      </c>
      <c r="M124" s="75" t="str">
        <f t="shared" si="12"/>
        <v/>
      </c>
    </row>
    <row r="125" spans="1:1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8"/>
        <v/>
      </c>
      <c r="D125" s="72" t="str">
        <f t="shared" si="9"/>
        <v/>
      </c>
      <c r="E125" s="84"/>
      <c r="F125" s="122" t="str">
        <f t="shared" si="10"/>
        <v/>
      </c>
      <c r="G125" s="117"/>
      <c r="H125" s="117"/>
      <c r="I125" s="117"/>
      <c r="J125" s="84"/>
      <c r="L125" s="75" t="str">
        <f t="shared" si="11"/>
        <v/>
      </c>
      <c r="M125" s="75" t="str">
        <f t="shared" si="12"/>
        <v/>
      </c>
    </row>
    <row r="126" spans="1:1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8"/>
        <v/>
      </c>
      <c r="D126" s="72" t="str">
        <f t="shared" si="9"/>
        <v/>
      </c>
      <c r="E126" s="84"/>
      <c r="F126" s="122" t="str">
        <f t="shared" si="10"/>
        <v/>
      </c>
      <c r="G126" s="117"/>
      <c r="H126" s="117"/>
      <c r="I126" s="117"/>
      <c r="J126" s="84"/>
      <c r="L126" s="75" t="str">
        <f t="shared" si="11"/>
        <v/>
      </c>
      <c r="M126" s="75" t="str">
        <f t="shared" si="12"/>
        <v/>
      </c>
    </row>
    <row r="127" spans="1:1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8"/>
        <v/>
      </c>
      <c r="D127" s="72" t="str">
        <f t="shared" si="9"/>
        <v/>
      </c>
      <c r="E127" s="84"/>
      <c r="F127" s="122" t="str">
        <f t="shared" si="10"/>
        <v/>
      </c>
      <c r="G127" s="117"/>
      <c r="H127" s="117"/>
      <c r="I127" s="117"/>
      <c r="J127" s="84"/>
      <c r="L127" s="75" t="str">
        <f t="shared" si="11"/>
        <v/>
      </c>
      <c r="M127" s="75" t="str">
        <f t="shared" si="12"/>
        <v/>
      </c>
    </row>
    <row r="128" spans="1:1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8"/>
        <v/>
      </c>
      <c r="D128" s="72" t="str">
        <f t="shared" si="9"/>
        <v/>
      </c>
      <c r="E128" s="84"/>
      <c r="F128" s="122" t="str">
        <f t="shared" si="10"/>
        <v/>
      </c>
      <c r="G128" s="117"/>
      <c r="H128" s="117"/>
      <c r="I128" s="117"/>
      <c r="J128" s="84"/>
      <c r="L128" s="75" t="str">
        <f t="shared" si="11"/>
        <v/>
      </c>
      <c r="M128" s="75" t="str">
        <f t="shared" si="12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8"/>
        <v/>
      </c>
      <c r="D129" s="72" t="str">
        <f t="shared" si="9"/>
        <v/>
      </c>
      <c r="E129" s="84"/>
      <c r="F129" s="122" t="str">
        <f t="shared" si="10"/>
        <v/>
      </c>
      <c r="G129" s="117"/>
      <c r="H129" s="117"/>
      <c r="I129" s="117"/>
      <c r="J129" s="84"/>
      <c r="L129" s="75" t="str">
        <f t="shared" si="11"/>
        <v/>
      </c>
      <c r="M129" s="75" t="str">
        <f t="shared" si="12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ref="C130:C193" si="13">IFERROR(VLOOKUP(E130,$R$5:$U$112,3,FALSE),"")</f>
        <v/>
      </c>
      <c r="D130" s="72" t="str">
        <f t="shared" ref="D130:D193" si="14">IFERROR(VLOOKUP(E130,$R$5:$U$112,4,FALSE),"")</f>
        <v/>
      </c>
      <c r="E130" s="84"/>
      <c r="F130" s="122" t="str">
        <f t="shared" ref="F130:F193" si="15">IFERROR(VLOOKUP(E130,$R$5:$U$112,2,FALSE),"")</f>
        <v/>
      </c>
      <c r="G130" s="117"/>
      <c r="H130" s="117"/>
      <c r="I130" s="117"/>
      <c r="J130" s="84"/>
      <c r="L130" s="75" t="str">
        <f t="shared" si="11"/>
        <v/>
      </c>
      <c r="M130" s="75" t="str">
        <f t="shared" si="12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3"/>
        <v/>
      </c>
      <c r="D131" s="72" t="str">
        <f t="shared" si="14"/>
        <v/>
      </c>
      <c r="E131" s="84"/>
      <c r="F131" s="122" t="str">
        <f t="shared" si="15"/>
        <v/>
      </c>
      <c r="G131" s="117"/>
      <c r="H131" s="117"/>
      <c r="I131" s="117"/>
      <c r="J131" s="84"/>
      <c r="L131" s="75" t="str">
        <f t="shared" ref="L131:L194" si="16">LEFT(E131,2)</f>
        <v/>
      </c>
      <c r="M131" s="75" t="str">
        <f t="shared" ref="M131:M194" si="17">LEFT(E131,3)</f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3"/>
        <v/>
      </c>
      <c r="D132" s="72" t="str">
        <f t="shared" si="14"/>
        <v/>
      </c>
      <c r="E132" s="84"/>
      <c r="F132" s="122" t="str">
        <f t="shared" si="15"/>
        <v/>
      </c>
      <c r="G132" s="117"/>
      <c r="H132" s="117"/>
      <c r="I132" s="117"/>
      <c r="J132" s="84"/>
      <c r="L132" s="75" t="str">
        <f t="shared" si="16"/>
        <v/>
      </c>
      <c r="M132" s="75" t="str">
        <f t="shared" si="17"/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3"/>
        <v/>
      </c>
      <c r="D133" s="72" t="str">
        <f t="shared" si="14"/>
        <v/>
      </c>
      <c r="E133" s="84"/>
      <c r="F133" s="122" t="str">
        <f t="shared" si="15"/>
        <v/>
      </c>
      <c r="G133" s="117"/>
      <c r="H133" s="117"/>
      <c r="I133" s="117"/>
      <c r="J133" s="84"/>
      <c r="L133" s="75" t="str">
        <f t="shared" si="16"/>
        <v/>
      </c>
      <c r="M133" s="75" t="str">
        <f t="shared" si="17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3"/>
        <v/>
      </c>
      <c r="D134" s="72" t="str">
        <f t="shared" si="14"/>
        <v/>
      </c>
      <c r="E134" s="84"/>
      <c r="F134" s="122" t="str">
        <f t="shared" si="15"/>
        <v/>
      </c>
      <c r="G134" s="117"/>
      <c r="H134" s="117"/>
      <c r="I134" s="117"/>
      <c r="J134" s="84"/>
      <c r="L134" s="75" t="str">
        <f t="shared" si="16"/>
        <v/>
      </c>
      <c r="M134" s="75" t="str">
        <f t="shared" si="17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3"/>
        <v/>
      </c>
      <c r="D135" s="72" t="str">
        <f t="shared" si="14"/>
        <v/>
      </c>
      <c r="E135" s="84"/>
      <c r="F135" s="122" t="str">
        <f t="shared" si="15"/>
        <v/>
      </c>
      <c r="G135" s="117"/>
      <c r="H135" s="117"/>
      <c r="I135" s="117"/>
      <c r="J135" s="84"/>
      <c r="L135" s="75" t="str">
        <f t="shared" si="16"/>
        <v/>
      </c>
      <c r="M135" s="75" t="str">
        <f t="shared" si="17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3"/>
        <v/>
      </c>
      <c r="D136" s="72" t="str">
        <f t="shared" si="14"/>
        <v/>
      </c>
      <c r="E136" s="84"/>
      <c r="F136" s="122" t="str">
        <f t="shared" si="15"/>
        <v/>
      </c>
      <c r="G136" s="117"/>
      <c r="H136" s="117"/>
      <c r="I136" s="117"/>
      <c r="J136" s="84"/>
      <c r="L136" s="75" t="str">
        <f t="shared" si="16"/>
        <v/>
      </c>
      <c r="M136" s="75" t="str">
        <f t="shared" si="17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3"/>
        <v/>
      </c>
      <c r="D137" s="72" t="str">
        <f t="shared" si="14"/>
        <v/>
      </c>
      <c r="E137" s="84"/>
      <c r="F137" s="122" t="str">
        <f t="shared" si="15"/>
        <v/>
      </c>
      <c r="G137" s="117"/>
      <c r="H137" s="117"/>
      <c r="I137" s="117"/>
      <c r="J137" s="84"/>
      <c r="L137" s="75" t="str">
        <f t="shared" si="16"/>
        <v/>
      </c>
      <c r="M137" s="75" t="str">
        <f t="shared" si="17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3"/>
        <v/>
      </c>
      <c r="D138" s="72" t="str">
        <f t="shared" si="14"/>
        <v/>
      </c>
      <c r="E138" s="84"/>
      <c r="F138" s="122" t="str">
        <f t="shared" si="15"/>
        <v/>
      </c>
      <c r="G138" s="117"/>
      <c r="H138" s="117"/>
      <c r="I138" s="117"/>
      <c r="J138" s="84"/>
      <c r="L138" s="75" t="str">
        <f t="shared" si="16"/>
        <v/>
      </c>
      <c r="M138" s="75" t="str">
        <f t="shared" si="17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3"/>
        <v/>
      </c>
      <c r="D139" s="72" t="str">
        <f t="shared" si="14"/>
        <v/>
      </c>
      <c r="E139" s="84"/>
      <c r="F139" s="122" t="str">
        <f t="shared" si="15"/>
        <v/>
      </c>
      <c r="G139" s="117"/>
      <c r="H139" s="117"/>
      <c r="I139" s="117"/>
      <c r="J139" s="84"/>
      <c r="L139" s="75" t="str">
        <f t="shared" si="16"/>
        <v/>
      </c>
      <c r="M139" s="75" t="str">
        <f t="shared" si="17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3"/>
        <v/>
      </c>
      <c r="D140" s="72" t="str">
        <f t="shared" si="14"/>
        <v/>
      </c>
      <c r="E140" s="84"/>
      <c r="F140" s="122" t="str">
        <f t="shared" si="15"/>
        <v/>
      </c>
      <c r="G140" s="117"/>
      <c r="H140" s="117"/>
      <c r="I140" s="117"/>
      <c r="J140" s="84"/>
      <c r="L140" s="75" t="str">
        <f t="shared" si="16"/>
        <v/>
      </c>
      <c r="M140" s="75" t="str">
        <f t="shared" si="17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3"/>
        <v/>
      </c>
      <c r="D141" s="72" t="str">
        <f t="shared" si="14"/>
        <v/>
      </c>
      <c r="E141" s="84"/>
      <c r="F141" s="122" t="str">
        <f t="shared" si="15"/>
        <v/>
      </c>
      <c r="G141" s="117"/>
      <c r="H141" s="117"/>
      <c r="I141" s="117"/>
      <c r="J141" s="84"/>
      <c r="L141" s="75" t="str">
        <f t="shared" si="16"/>
        <v/>
      </c>
      <c r="M141" s="75" t="str">
        <f t="shared" si="17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3"/>
        <v/>
      </c>
      <c r="D142" s="72" t="str">
        <f t="shared" si="14"/>
        <v/>
      </c>
      <c r="E142" s="84"/>
      <c r="F142" s="122" t="str">
        <f t="shared" si="15"/>
        <v/>
      </c>
      <c r="G142" s="117"/>
      <c r="H142" s="117"/>
      <c r="I142" s="117"/>
      <c r="J142" s="84"/>
      <c r="L142" s="75" t="str">
        <f t="shared" si="16"/>
        <v/>
      </c>
      <c r="M142" s="75" t="str">
        <f t="shared" si="17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3"/>
        <v/>
      </c>
      <c r="D143" s="72" t="str">
        <f t="shared" si="14"/>
        <v/>
      </c>
      <c r="E143" s="84"/>
      <c r="F143" s="122" t="str">
        <f t="shared" si="15"/>
        <v/>
      </c>
      <c r="G143" s="117"/>
      <c r="H143" s="117"/>
      <c r="I143" s="117"/>
      <c r="J143" s="84"/>
      <c r="L143" s="75" t="str">
        <f t="shared" si="16"/>
        <v/>
      </c>
      <c r="M143" s="75" t="str">
        <f t="shared" si="17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3"/>
        <v/>
      </c>
      <c r="D144" s="72" t="str">
        <f t="shared" si="14"/>
        <v/>
      </c>
      <c r="E144" s="84"/>
      <c r="F144" s="122" t="str">
        <f t="shared" si="15"/>
        <v/>
      </c>
      <c r="G144" s="117"/>
      <c r="H144" s="117"/>
      <c r="I144" s="117"/>
      <c r="J144" s="84"/>
      <c r="L144" s="75" t="str">
        <f t="shared" si="16"/>
        <v/>
      </c>
      <c r="M144" s="75" t="str">
        <f t="shared" si="17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3"/>
        <v/>
      </c>
      <c r="D145" s="72" t="str">
        <f t="shared" si="14"/>
        <v/>
      </c>
      <c r="E145" s="84"/>
      <c r="F145" s="122" t="str">
        <f t="shared" si="15"/>
        <v/>
      </c>
      <c r="G145" s="117"/>
      <c r="H145" s="117"/>
      <c r="I145" s="117"/>
      <c r="J145" s="84"/>
      <c r="L145" s="75" t="str">
        <f t="shared" si="16"/>
        <v/>
      </c>
      <c r="M145" s="75" t="str">
        <f t="shared" si="17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3"/>
        <v/>
      </c>
      <c r="D146" s="72" t="str">
        <f t="shared" si="14"/>
        <v/>
      </c>
      <c r="E146" s="84"/>
      <c r="F146" s="122" t="str">
        <f t="shared" si="15"/>
        <v/>
      </c>
      <c r="G146" s="117"/>
      <c r="H146" s="117"/>
      <c r="I146" s="117"/>
      <c r="J146" s="84"/>
      <c r="L146" s="75" t="str">
        <f t="shared" si="16"/>
        <v/>
      </c>
      <c r="M146" s="75" t="str">
        <f t="shared" si="17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3"/>
        <v/>
      </c>
      <c r="D147" s="72" t="str">
        <f t="shared" si="14"/>
        <v/>
      </c>
      <c r="E147" s="84"/>
      <c r="F147" s="122" t="str">
        <f t="shared" si="15"/>
        <v/>
      </c>
      <c r="G147" s="117"/>
      <c r="H147" s="117"/>
      <c r="I147" s="117"/>
      <c r="J147" s="84"/>
      <c r="L147" s="75" t="str">
        <f t="shared" si="16"/>
        <v/>
      </c>
      <c r="M147" s="75" t="str">
        <f t="shared" si="17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3"/>
        <v/>
      </c>
      <c r="D148" s="72" t="str">
        <f t="shared" si="14"/>
        <v/>
      </c>
      <c r="E148" s="84"/>
      <c r="F148" s="122" t="str">
        <f t="shared" si="15"/>
        <v/>
      </c>
      <c r="G148" s="117"/>
      <c r="H148" s="117"/>
      <c r="I148" s="117"/>
      <c r="J148" s="84"/>
      <c r="L148" s="75" t="str">
        <f t="shared" si="16"/>
        <v/>
      </c>
      <c r="M148" s="75" t="str">
        <f t="shared" si="17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3"/>
        <v/>
      </c>
      <c r="D149" s="72" t="str">
        <f t="shared" si="14"/>
        <v/>
      </c>
      <c r="E149" s="84"/>
      <c r="F149" s="122" t="str">
        <f t="shared" si="15"/>
        <v/>
      </c>
      <c r="G149" s="117"/>
      <c r="H149" s="117"/>
      <c r="I149" s="117"/>
      <c r="J149" s="84"/>
      <c r="L149" s="75" t="str">
        <f t="shared" si="16"/>
        <v/>
      </c>
      <c r="M149" s="75" t="str">
        <f t="shared" si="17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3"/>
        <v/>
      </c>
      <c r="D150" s="72" t="str">
        <f t="shared" si="14"/>
        <v/>
      </c>
      <c r="E150" s="84"/>
      <c r="F150" s="122" t="str">
        <f t="shared" si="15"/>
        <v/>
      </c>
      <c r="G150" s="117"/>
      <c r="H150" s="117"/>
      <c r="I150" s="117"/>
      <c r="J150" s="84"/>
      <c r="L150" s="75" t="str">
        <f t="shared" si="16"/>
        <v/>
      </c>
      <c r="M150" s="75" t="str">
        <f t="shared" si="17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3"/>
        <v/>
      </c>
      <c r="D151" s="72" t="str">
        <f t="shared" si="14"/>
        <v/>
      </c>
      <c r="E151" s="84"/>
      <c r="F151" s="122" t="str">
        <f t="shared" si="15"/>
        <v/>
      </c>
      <c r="G151" s="117"/>
      <c r="H151" s="117"/>
      <c r="I151" s="117"/>
      <c r="J151" s="84"/>
      <c r="L151" s="75" t="str">
        <f t="shared" si="16"/>
        <v/>
      </c>
      <c r="M151" s="75" t="str">
        <f t="shared" si="17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3"/>
        <v/>
      </c>
      <c r="D152" s="72" t="str">
        <f t="shared" si="14"/>
        <v/>
      </c>
      <c r="E152" s="84"/>
      <c r="F152" s="122" t="str">
        <f t="shared" si="15"/>
        <v/>
      </c>
      <c r="G152" s="117"/>
      <c r="H152" s="117"/>
      <c r="I152" s="117"/>
      <c r="J152" s="84"/>
      <c r="L152" s="75" t="str">
        <f t="shared" si="16"/>
        <v/>
      </c>
      <c r="M152" s="75" t="str">
        <f t="shared" si="17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3"/>
        <v/>
      </c>
      <c r="D153" s="72" t="str">
        <f t="shared" si="14"/>
        <v/>
      </c>
      <c r="E153" s="84"/>
      <c r="F153" s="122" t="str">
        <f t="shared" si="15"/>
        <v/>
      </c>
      <c r="G153" s="117"/>
      <c r="H153" s="117"/>
      <c r="I153" s="117"/>
      <c r="J153" s="84"/>
      <c r="L153" s="75" t="str">
        <f t="shared" si="16"/>
        <v/>
      </c>
      <c r="M153" s="75" t="str">
        <f t="shared" si="17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3"/>
        <v/>
      </c>
      <c r="D154" s="72" t="str">
        <f t="shared" si="14"/>
        <v/>
      </c>
      <c r="E154" s="84"/>
      <c r="F154" s="122" t="str">
        <f t="shared" si="15"/>
        <v/>
      </c>
      <c r="G154" s="117"/>
      <c r="H154" s="117"/>
      <c r="I154" s="117"/>
      <c r="J154" s="84"/>
      <c r="L154" s="75" t="str">
        <f t="shared" si="16"/>
        <v/>
      </c>
      <c r="M154" s="75" t="str">
        <f t="shared" si="17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3"/>
        <v/>
      </c>
      <c r="D155" s="72" t="str">
        <f t="shared" si="14"/>
        <v/>
      </c>
      <c r="E155" s="84"/>
      <c r="F155" s="122" t="str">
        <f t="shared" si="15"/>
        <v/>
      </c>
      <c r="G155" s="117"/>
      <c r="H155" s="117"/>
      <c r="I155" s="117"/>
      <c r="J155" s="84"/>
      <c r="L155" s="75" t="str">
        <f t="shared" si="16"/>
        <v/>
      </c>
      <c r="M155" s="75" t="str">
        <f t="shared" si="17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3"/>
        <v/>
      </c>
      <c r="D156" s="72" t="str">
        <f t="shared" si="14"/>
        <v/>
      </c>
      <c r="E156" s="84"/>
      <c r="F156" s="122" t="str">
        <f t="shared" si="15"/>
        <v/>
      </c>
      <c r="G156" s="117"/>
      <c r="H156" s="117"/>
      <c r="I156" s="117"/>
      <c r="J156" s="84"/>
      <c r="L156" s="75" t="str">
        <f t="shared" si="16"/>
        <v/>
      </c>
      <c r="M156" s="75" t="str">
        <f t="shared" si="17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3"/>
        <v/>
      </c>
      <c r="D157" s="72" t="str">
        <f t="shared" si="14"/>
        <v/>
      </c>
      <c r="E157" s="84"/>
      <c r="F157" s="122" t="str">
        <f t="shared" si="15"/>
        <v/>
      </c>
      <c r="G157" s="117"/>
      <c r="H157" s="117"/>
      <c r="I157" s="117"/>
      <c r="J157" s="84"/>
      <c r="L157" s="75" t="str">
        <f t="shared" si="16"/>
        <v/>
      </c>
      <c r="M157" s="75" t="str">
        <f t="shared" si="17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3"/>
        <v/>
      </c>
      <c r="D158" s="72" t="str">
        <f t="shared" si="14"/>
        <v/>
      </c>
      <c r="E158" s="84"/>
      <c r="F158" s="122" t="str">
        <f t="shared" si="15"/>
        <v/>
      </c>
      <c r="G158" s="117"/>
      <c r="H158" s="117"/>
      <c r="I158" s="117"/>
      <c r="J158" s="84"/>
      <c r="L158" s="75" t="str">
        <f t="shared" si="16"/>
        <v/>
      </c>
      <c r="M158" s="75" t="str">
        <f t="shared" si="17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3"/>
        <v/>
      </c>
      <c r="D159" s="72" t="str">
        <f t="shared" si="14"/>
        <v/>
      </c>
      <c r="E159" s="84"/>
      <c r="F159" s="122" t="str">
        <f t="shared" si="15"/>
        <v/>
      </c>
      <c r="G159" s="117"/>
      <c r="H159" s="117"/>
      <c r="I159" s="117"/>
      <c r="J159" s="84"/>
      <c r="L159" s="75" t="str">
        <f t="shared" si="16"/>
        <v/>
      </c>
      <c r="M159" s="75" t="str">
        <f t="shared" si="17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3"/>
        <v/>
      </c>
      <c r="D160" s="72" t="str">
        <f t="shared" si="14"/>
        <v/>
      </c>
      <c r="E160" s="84"/>
      <c r="F160" s="122" t="str">
        <f t="shared" si="15"/>
        <v/>
      </c>
      <c r="G160" s="117"/>
      <c r="H160" s="117"/>
      <c r="I160" s="117"/>
      <c r="J160" s="84"/>
      <c r="L160" s="75" t="str">
        <f t="shared" si="16"/>
        <v/>
      </c>
      <c r="M160" s="75" t="str">
        <f t="shared" si="17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3"/>
        <v/>
      </c>
      <c r="D161" s="72" t="str">
        <f t="shared" si="14"/>
        <v/>
      </c>
      <c r="E161" s="84"/>
      <c r="F161" s="122" t="str">
        <f t="shared" si="15"/>
        <v/>
      </c>
      <c r="G161" s="117"/>
      <c r="H161" s="117"/>
      <c r="I161" s="117"/>
      <c r="J161" s="84"/>
      <c r="L161" s="75" t="str">
        <f t="shared" si="16"/>
        <v/>
      </c>
      <c r="M161" s="75" t="str">
        <f t="shared" si="17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3"/>
        <v/>
      </c>
      <c r="D162" s="72" t="str">
        <f t="shared" si="14"/>
        <v/>
      </c>
      <c r="E162" s="84"/>
      <c r="F162" s="122" t="str">
        <f t="shared" si="15"/>
        <v/>
      </c>
      <c r="G162" s="117"/>
      <c r="H162" s="117"/>
      <c r="I162" s="117"/>
      <c r="J162" s="84"/>
      <c r="L162" s="75" t="str">
        <f t="shared" si="16"/>
        <v/>
      </c>
      <c r="M162" s="75" t="str">
        <f t="shared" si="17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3"/>
        <v/>
      </c>
      <c r="D163" s="72" t="str">
        <f t="shared" si="14"/>
        <v/>
      </c>
      <c r="E163" s="84"/>
      <c r="F163" s="122" t="str">
        <f t="shared" si="15"/>
        <v/>
      </c>
      <c r="G163" s="117"/>
      <c r="H163" s="117"/>
      <c r="I163" s="117"/>
      <c r="J163" s="84"/>
      <c r="L163" s="75" t="str">
        <f t="shared" si="16"/>
        <v/>
      </c>
      <c r="M163" s="75" t="str">
        <f t="shared" si="17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3"/>
        <v/>
      </c>
      <c r="D164" s="72" t="str">
        <f t="shared" si="14"/>
        <v/>
      </c>
      <c r="E164" s="84"/>
      <c r="F164" s="122" t="str">
        <f t="shared" si="15"/>
        <v/>
      </c>
      <c r="G164" s="117"/>
      <c r="H164" s="117"/>
      <c r="I164" s="117"/>
      <c r="J164" s="84"/>
      <c r="L164" s="75" t="str">
        <f t="shared" si="16"/>
        <v/>
      </c>
      <c r="M164" s="75" t="str">
        <f t="shared" si="17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3"/>
        <v/>
      </c>
      <c r="D165" s="72" t="str">
        <f t="shared" si="14"/>
        <v/>
      </c>
      <c r="E165" s="84"/>
      <c r="F165" s="122" t="str">
        <f t="shared" si="15"/>
        <v/>
      </c>
      <c r="G165" s="117"/>
      <c r="H165" s="117"/>
      <c r="I165" s="117"/>
      <c r="J165" s="84"/>
      <c r="L165" s="75" t="str">
        <f t="shared" si="16"/>
        <v/>
      </c>
      <c r="M165" s="75" t="str">
        <f t="shared" si="17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3"/>
        <v/>
      </c>
      <c r="D166" s="72" t="str">
        <f t="shared" si="14"/>
        <v/>
      </c>
      <c r="E166" s="84"/>
      <c r="F166" s="122" t="str">
        <f t="shared" si="15"/>
        <v/>
      </c>
      <c r="G166" s="117"/>
      <c r="H166" s="117"/>
      <c r="I166" s="117"/>
      <c r="J166" s="84"/>
      <c r="L166" s="75" t="str">
        <f t="shared" si="16"/>
        <v/>
      </c>
      <c r="M166" s="75" t="str">
        <f t="shared" si="17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3"/>
        <v/>
      </c>
      <c r="D167" s="72" t="str">
        <f t="shared" si="14"/>
        <v/>
      </c>
      <c r="E167" s="84"/>
      <c r="F167" s="122" t="str">
        <f t="shared" si="15"/>
        <v/>
      </c>
      <c r="G167" s="117"/>
      <c r="H167" s="117"/>
      <c r="I167" s="117"/>
      <c r="J167" s="84"/>
      <c r="L167" s="75" t="str">
        <f t="shared" si="16"/>
        <v/>
      </c>
      <c r="M167" s="75" t="str">
        <f t="shared" si="17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3"/>
        <v/>
      </c>
      <c r="D168" s="72" t="str">
        <f t="shared" si="14"/>
        <v/>
      </c>
      <c r="E168" s="84"/>
      <c r="F168" s="122" t="str">
        <f t="shared" si="15"/>
        <v/>
      </c>
      <c r="G168" s="117"/>
      <c r="H168" s="117"/>
      <c r="I168" s="117"/>
      <c r="J168" s="84"/>
      <c r="L168" s="75" t="str">
        <f t="shared" si="16"/>
        <v/>
      </c>
      <c r="M168" s="75" t="str">
        <f t="shared" si="17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3"/>
        <v/>
      </c>
      <c r="D169" s="72" t="str">
        <f t="shared" si="14"/>
        <v/>
      </c>
      <c r="E169" s="84"/>
      <c r="F169" s="122" t="str">
        <f t="shared" si="15"/>
        <v/>
      </c>
      <c r="G169" s="117"/>
      <c r="H169" s="117"/>
      <c r="I169" s="117"/>
      <c r="J169" s="84"/>
      <c r="L169" s="75" t="str">
        <f t="shared" si="16"/>
        <v/>
      </c>
      <c r="M169" s="75" t="str">
        <f t="shared" si="17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3"/>
        <v/>
      </c>
      <c r="D170" s="72" t="str">
        <f t="shared" si="14"/>
        <v/>
      </c>
      <c r="E170" s="84"/>
      <c r="F170" s="122" t="str">
        <f t="shared" si="15"/>
        <v/>
      </c>
      <c r="G170" s="117"/>
      <c r="H170" s="117"/>
      <c r="I170" s="117"/>
      <c r="J170" s="84"/>
      <c r="L170" s="75" t="str">
        <f t="shared" si="16"/>
        <v/>
      </c>
      <c r="M170" s="75" t="str">
        <f t="shared" si="17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3"/>
        <v/>
      </c>
      <c r="D171" s="72" t="str">
        <f t="shared" si="14"/>
        <v/>
      </c>
      <c r="E171" s="84"/>
      <c r="F171" s="122" t="str">
        <f t="shared" si="15"/>
        <v/>
      </c>
      <c r="G171" s="117"/>
      <c r="H171" s="117"/>
      <c r="I171" s="117"/>
      <c r="J171" s="84"/>
      <c r="L171" s="75" t="str">
        <f t="shared" si="16"/>
        <v/>
      </c>
      <c r="M171" s="75" t="str">
        <f t="shared" si="17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3"/>
        <v/>
      </c>
      <c r="D172" s="72" t="str">
        <f t="shared" si="14"/>
        <v/>
      </c>
      <c r="E172" s="84"/>
      <c r="F172" s="122" t="str">
        <f t="shared" si="15"/>
        <v/>
      </c>
      <c r="G172" s="117"/>
      <c r="H172" s="117"/>
      <c r="I172" s="117"/>
      <c r="J172" s="84"/>
      <c r="L172" s="75" t="str">
        <f t="shared" si="16"/>
        <v/>
      </c>
      <c r="M172" s="75" t="str">
        <f t="shared" si="17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3"/>
        <v/>
      </c>
      <c r="D173" s="72" t="str">
        <f t="shared" si="14"/>
        <v/>
      </c>
      <c r="E173" s="84"/>
      <c r="F173" s="122" t="str">
        <f t="shared" si="15"/>
        <v/>
      </c>
      <c r="G173" s="117"/>
      <c r="H173" s="117"/>
      <c r="I173" s="117"/>
      <c r="J173" s="84"/>
      <c r="L173" s="75" t="str">
        <f t="shared" si="16"/>
        <v/>
      </c>
      <c r="M173" s="75" t="str">
        <f t="shared" si="17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3"/>
        <v/>
      </c>
      <c r="D174" s="72" t="str">
        <f t="shared" si="14"/>
        <v/>
      </c>
      <c r="E174" s="84"/>
      <c r="F174" s="122" t="str">
        <f t="shared" si="15"/>
        <v/>
      </c>
      <c r="G174" s="117"/>
      <c r="H174" s="117"/>
      <c r="I174" s="117"/>
      <c r="J174" s="84"/>
      <c r="L174" s="75" t="str">
        <f t="shared" si="16"/>
        <v/>
      </c>
      <c r="M174" s="75" t="str">
        <f t="shared" si="17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3"/>
        <v/>
      </c>
      <c r="D175" s="72" t="str">
        <f t="shared" si="14"/>
        <v/>
      </c>
      <c r="E175" s="84"/>
      <c r="F175" s="122" t="str">
        <f t="shared" si="15"/>
        <v/>
      </c>
      <c r="G175" s="117"/>
      <c r="H175" s="117"/>
      <c r="I175" s="117"/>
      <c r="J175" s="84"/>
      <c r="L175" s="75" t="str">
        <f t="shared" si="16"/>
        <v/>
      </c>
      <c r="M175" s="75" t="str">
        <f t="shared" si="17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3"/>
        <v/>
      </c>
      <c r="D176" s="72" t="str">
        <f t="shared" si="14"/>
        <v/>
      </c>
      <c r="E176" s="84"/>
      <c r="F176" s="122" t="str">
        <f t="shared" si="15"/>
        <v/>
      </c>
      <c r="G176" s="117"/>
      <c r="H176" s="117"/>
      <c r="I176" s="117"/>
      <c r="J176" s="84"/>
      <c r="L176" s="75" t="str">
        <f t="shared" si="16"/>
        <v/>
      </c>
      <c r="M176" s="75" t="str">
        <f t="shared" si="17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3"/>
        <v/>
      </c>
      <c r="D177" s="72" t="str">
        <f t="shared" si="14"/>
        <v/>
      </c>
      <c r="E177" s="84"/>
      <c r="F177" s="122" t="str">
        <f t="shared" si="15"/>
        <v/>
      </c>
      <c r="G177" s="117"/>
      <c r="H177" s="117"/>
      <c r="I177" s="117"/>
      <c r="J177" s="84"/>
      <c r="L177" s="75" t="str">
        <f t="shared" si="16"/>
        <v/>
      </c>
      <c r="M177" s="75" t="str">
        <f t="shared" si="17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3"/>
        <v/>
      </c>
      <c r="D178" s="72" t="str">
        <f t="shared" si="14"/>
        <v/>
      </c>
      <c r="E178" s="84"/>
      <c r="F178" s="122" t="str">
        <f t="shared" si="15"/>
        <v/>
      </c>
      <c r="G178" s="117"/>
      <c r="H178" s="117"/>
      <c r="I178" s="117"/>
      <c r="J178" s="84"/>
      <c r="L178" s="75" t="str">
        <f t="shared" si="16"/>
        <v/>
      </c>
      <c r="M178" s="75" t="str">
        <f t="shared" si="17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3"/>
        <v/>
      </c>
      <c r="D179" s="72" t="str">
        <f t="shared" si="14"/>
        <v/>
      </c>
      <c r="E179" s="84"/>
      <c r="F179" s="122" t="str">
        <f t="shared" si="15"/>
        <v/>
      </c>
      <c r="G179" s="117"/>
      <c r="H179" s="117"/>
      <c r="I179" s="117"/>
      <c r="J179" s="84"/>
      <c r="L179" s="75" t="str">
        <f t="shared" si="16"/>
        <v/>
      </c>
      <c r="M179" s="75" t="str">
        <f t="shared" si="17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3"/>
        <v/>
      </c>
      <c r="D180" s="72" t="str">
        <f t="shared" si="14"/>
        <v/>
      </c>
      <c r="E180" s="84"/>
      <c r="F180" s="122" t="str">
        <f t="shared" si="15"/>
        <v/>
      </c>
      <c r="G180" s="117"/>
      <c r="H180" s="117"/>
      <c r="I180" s="117"/>
      <c r="J180" s="84"/>
      <c r="L180" s="75" t="str">
        <f t="shared" si="16"/>
        <v/>
      </c>
      <c r="M180" s="75" t="str">
        <f t="shared" si="17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3"/>
        <v/>
      </c>
      <c r="D181" s="72" t="str">
        <f t="shared" si="14"/>
        <v/>
      </c>
      <c r="E181" s="84"/>
      <c r="F181" s="122" t="str">
        <f t="shared" si="15"/>
        <v/>
      </c>
      <c r="G181" s="117"/>
      <c r="H181" s="117"/>
      <c r="I181" s="117"/>
      <c r="J181" s="84"/>
      <c r="L181" s="75" t="str">
        <f t="shared" si="16"/>
        <v/>
      </c>
      <c r="M181" s="75" t="str">
        <f t="shared" si="17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3"/>
        <v/>
      </c>
      <c r="D182" s="72" t="str">
        <f t="shared" si="14"/>
        <v/>
      </c>
      <c r="E182" s="84"/>
      <c r="F182" s="122" t="str">
        <f t="shared" si="15"/>
        <v/>
      </c>
      <c r="G182" s="117"/>
      <c r="H182" s="117"/>
      <c r="I182" s="117"/>
      <c r="J182" s="84"/>
      <c r="L182" s="75" t="str">
        <f t="shared" si="16"/>
        <v/>
      </c>
      <c r="M182" s="75" t="str">
        <f t="shared" si="17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3"/>
        <v/>
      </c>
      <c r="D183" s="72" t="str">
        <f t="shared" si="14"/>
        <v/>
      </c>
      <c r="E183" s="84"/>
      <c r="F183" s="122" t="str">
        <f t="shared" si="15"/>
        <v/>
      </c>
      <c r="G183" s="117"/>
      <c r="H183" s="117"/>
      <c r="I183" s="117"/>
      <c r="J183" s="84"/>
      <c r="L183" s="75" t="str">
        <f t="shared" si="16"/>
        <v/>
      </c>
      <c r="M183" s="75" t="str">
        <f t="shared" si="17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3"/>
        <v/>
      </c>
      <c r="D184" s="72" t="str">
        <f t="shared" si="14"/>
        <v/>
      </c>
      <c r="E184" s="84"/>
      <c r="F184" s="122" t="str">
        <f t="shared" si="15"/>
        <v/>
      </c>
      <c r="G184" s="117"/>
      <c r="H184" s="117"/>
      <c r="I184" s="117"/>
      <c r="J184" s="84"/>
      <c r="L184" s="75" t="str">
        <f t="shared" si="16"/>
        <v/>
      </c>
      <c r="M184" s="75" t="str">
        <f t="shared" si="17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3"/>
        <v/>
      </c>
      <c r="D185" s="72" t="str">
        <f t="shared" si="14"/>
        <v/>
      </c>
      <c r="E185" s="84"/>
      <c r="F185" s="122" t="str">
        <f t="shared" si="15"/>
        <v/>
      </c>
      <c r="G185" s="117"/>
      <c r="H185" s="117"/>
      <c r="I185" s="117"/>
      <c r="J185" s="84"/>
      <c r="L185" s="75" t="str">
        <f t="shared" si="16"/>
        <v/>
      </c>
      <c r="M185" s="75" t="str">
        <f t="shared" si="17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3"/>
        <v/>
      </c>
      <c r="D186" s="72" t="str">
        <f t="shared" si="14"/>
        <v/>
      </c>
      <c r="E186" s="84"/>
      <c r="F186" s="122" t="str">
        <f t="shared" si="15"/>
        <v/>
      </c>
      <c r="G186" s="117"/>
      <c r="H186" s="117"/>
      <c r="I186" s="117"/>
      <c r="J186" s="84"/>
      <c r="L186" s="75" t="str">
        <f t="shared" si="16"/>
        <v/>
      </c>
      <c r="M186" s="75" t="str">
        <f t="shared" si="17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3"/>
        <v/>
      </c>
      <c r="D187" s="72" t="str">
        <f t="shared" si="14"/>
        <v/>
      </c>
      <c r="E187" s="84"/>
      <c r="F187" s="122" t="str">
        <f t="shared" si="15"/>
        <v/>
      </c>
      <c r="G187" s="117"/>
      <c r="H187" s="117"/>
      <c r="I187" s="117"/>
      <c r="J187" s="84"/>
      <c r="L187" s="75" t="str">
        <f t="shared" si="16"/>
        <v/>
      </c>
      <c r="M187" s="75" t="str">
        <f t="shared" si="17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3"/>
        <v/>
      </c>
      <c r="D188" s="72" t="str">
        <f t="shared" si="14"/>
        <v/>
      </c>
      <c r="E188" s="84"/>
      <c r="F188" s="122" t="str">
        <f t="shared" si="15"/>
        <v/>
      </c>
      <c r="G188" s="117"/>
      <c r="H188" s="117"/>
      <c r="I188" s="117"/>
      <c r="J188" s="84"/>
      <c r="L188" s="75" t="str">
        <f t="shared" si="16"/>
        <v/>
      </c>
      <c r="M188" s="75" t="str">
        <f t="shared" si="17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3"/>
        <v/>
      </c>
      <c r="D189" s="72" t="str">
        <f t="shared" si="14"/>
        <v/>
      </c>
      <c r="E189" s="84"/>
      <c r="F189" s="122" t="str">
        <f t="shared" si="15"/>
        <v/>
      </c>
      <c r="G189" s="117"/>
      <c r="H189" s="117"/>
      <c r="I189" s="117"/>
      <c r="J189" s="84"/>
      <c r="L189" s="75" t="str">
        <f t="shared" si="16"/>
        <v/>
      </c>
      <c r="M189" s="75" t="str">
        <f t="shared" si="17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3"/>
        <v/>
      </c>
      <c r="D190" s="72" t="str">
        <f t="shared" si="14"/>
        <v/>
      </c>
      <c r="E190" s="84"/>
      <c r="F190" s="122" t="str">
        <f t="shared" si="15"/>
        <v/>
      </c>
      <c r="G190" s="117"/>
      <c r="H190" s="117"/>
      <c r="I190" s="117"/>
      <c r="J190" s="84"/>
      <c r="L190" s="75" t="str">
        <f t="shared" si="16"/>
        <v/>
      </c>
      <c r="M190" s="75" t="str">
        <f t="shared" si="17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3"/>
        <v/>
      </c>
      <c r="D191" s="72" t="str">
        <f t="shared" si="14"/>
        <v/>
      </c>
      <c r="E191" s="84"/>
      <c r="F191" s="122" t="str">
        <f t="shared" si="15"/>
        <v/>
      </c>
      <c r="G191" s="117"/>
      <c r="H191" s="117"/>
      <c r="I191" s="117"/>
      <c r="J191" s="84"/>
      <c r="L191" s="75" t="str">
        <f t="shared" si="16"/>
        <v/>
      </c>
      <c r="M191" s="75" t="str">
        <f t="shared" si="17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3"/>
        <v/>
      </c>
      <c r="D192" s="72" t="str">
        <f t="shared" si="14"/>
        <v/>
      </c>
      <c r="E192" s="84"/>
      <c r="F192" s="122" t="str">
        <f t="shared" si="15"/>
        <v/>
      </c>
      <c r="G192" s="117"/>
      <c r="H192" s="117"/>
      <c r="I192" s="117"/>
      <c r="J192" s="84"/>
      <c r="L192" s="75" t="str">
        <f t="shared" si="16"/>
        <v/>
      </c>
      <c r="M192" s="75" t="str">
        <f t="shared" si="17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3"/>
        <v/>
      </c>
      <c r="D193" s="72" t="str">
        <f t="shared" si="14"/>
        <v/>
      </c>
      <c r="E193" s="84"/>
      <c r="F193" s="122" t="str">
        <f t="shared" si="15"/>
        <v/>
      </c>
      <c r="G193" s="117"/>
      <c r="H193" s="117"/>
      <c r="I193" s="117"/>
      <c r="J193" s="84"/>
      <c r="L193" s="75" t="str">
        <f t="shared" si="16"/>
        <v/>
      </c>
      <c r="M193" s="75" t="str">
        <f t="shared" si="17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ref="C194:C257" si="18">IFERROR(VLOOKUP(E194,$R$5:$U$112,3,FALSE),"")</f>
        <v/>
      </c>
      <c r="D194" s="72" t="str">
        <f t="shared" ref="D194:D257" si="19">IFERROR(VLOOKUP(E194,$R$5:$U$112,4,FALSE),"")</f>
        <v/>
      </c>
      <c r="E194" s="84"/>
      <c r="F194" s="122" t="str">
        <f t="shared" ref="F194:F257" si="20">IFERROR(VLOOKUP(E194,$R$5:$U$112,2,FALSE),"")</f>
        <v/>
      </c>
      <c r="G194" s="117"/>
      <c r="H194" s="117"/>
      <c r="I194" s="117"/>
      <c r="J194" s="84"/>
      <c r="L194" s="75" t="str">
        <f t="shared" si="16"/>
        <v/>
      </c>
      <c r="M194" s="75" t="str">
        <f t="shared" si="17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8"/>
        <v/>
      </c>
      <c r="D195" s="72" t="str">
        <f t="shared" si="19"/>
        <v/>
      </c>
      <c r="E195" s="84"/>
      <c r="F195" s="122" t="str">
        <f t="shared" si="20"/>
        <v/>
      </c>
      <c r="G195" s="117"/>
      <c r="H195" s="117"/>
      <c r="I195" s="117"/>
      <c r="J195" s="84"/>
      <c r="L195" s="75" t="str">
        <f t="shared" ref="L195:L258" si="21">LEFT(E195,2)</f>
        <v/>
      </c>
      <c r="M195" s="75" t="str">
        <f t="shared" ref="M195:M258" si="22">LEFT(E195,3)</f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8"/>
        <v/>
      </c>
      <c r="D196" s="72" t="str">
        <f t="shared" si="19"/>
        <v/>
      </c>
      <c r="E196" s="84"/>
      <c r="F196" s="122" t="str">
        <f t="shared" si="20"/>
        <v/>
      </c>
      <c r="G196" s="117"/>
      <c r="H196" s="117"/>
      <c r="I196" s="117"/>
      <c r="J196" s="84"/>
      <c r="L196" s="75" t="str">
        <f t="shared" si="21"/>
        <v/>
      </c>
      <c r="M196" s="75" t="str">
        <f t="shared" si="22"/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8"/>
        <v/>
      </c>
      <c r="D197" s="72" t="str">
        <f t="shared" si="19"/>
        <v/>
      </c>
      <c r="E197" s="84"/>
      <c r="F197" s="122" t="str">
        <f t="shared" si="20"/>
        <v/>
      </c>
      <c r="G197" s="117"/>
      <c r="H197" s="117"/>
      <c r="I197" s="117"/>
      <c r="J197" s="84"/>
      <c r="L197" s="75" t="str">
        <f t="shared" si="21"/>
        <v/>
      </c>
      <c r="M197" s="75" t="str">
        <f t="shared" si="22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8"/>
        <v/>
      </c>
      <c r="D198" s="72" t="str">
        <f t="shared" si="19"/>
        <v/>
      </c>
      <c r="E198" s="84"/>
      <c r="F198" s="122" t="str">
        <f t="shared" si="20"/>
        <v/>
      </c>
      <c r="G198" s="117"/>
      <c r="H198" s="117"/>
      <c r="I198" s="117"/>
      <c r="J198" s="84"/>
      <c r="L198" s="75" t="str">
        <f t="shared" si="21"/>
        <v/>
      </c>
      <c r="M198" s="75" t="str">
        <f t="shared" si="22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8"/>
        <v/>
      </c>
      <c r="D199" s="72" t="str">
        <f t="shared" si="19"/>
        <v/>
      </c>
      <c r="E199" s="84"/>
      <c r="F199" s="122" t="str">
        <f t="shared" si="20"/>
        <v/>
      </c>
      <c r="G199" s="117"/>
      <c r="H199" s="117"/>
      <c r="I199" s="117"/>
      <c r="J199" s="84"/>
      <c r="L199" s="75" t="str">
        <f t="shared" si="21"/>
        <v/>
      </c>
      <c r="M199" s="75" t="str">
        <f t="shared" si="22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8"/>
        <v/>
      </c>
      <c r="D200" s="72" t="str">
        <f t="shared" si="19"/>
        <v/>
      </c>
      <c r="E200" s="84"/>
      <c r="F200" s="122" t="str">
        <f t="shared" si="20"/>
        <v/>
      </c>
      <c r="G200" s="117"/>
      <c r="H200" s="117"/>
      <c r="I200" s="117"/>
      <c r="J200" s="84"/>
      <c r="L200" s="75" t="str">
        <f t="shared" si="21"/>
        <v/>
      </c>
      <c r="M200" s="75" t="str">
        <f t="shared" si="22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8"/>
        <v/>
      </c>
      <c r="D201" s="72" t="str">
        <f t="shared" si="19"/>
        <v/>
      </c>
      <c r="E201" s="84"/>
      <c r="F201" s="122" t="str">
        <f t="shared" si="20"/>
        <v/>
      </c>
      <c r="G201" s="117"/>
      <c r="H201" s="117"/>
      <c r="I201" s="117"/>
      <c r="J201" s="84"/>
      <c r="L201" s="75" t="str">
        <f t="shared" si="21"/>
        <v/>
      </c>
      <c r="M201" s="75" t="str">
        <f t="shared" si="22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8"/>
        <v/>
      </c>
      <c r="D202" s="72" t="str">
        <f t="shared" si="19"/>
        <v/>
      </c>
      <c r="E202" s="84"/>
      <c r="F202" s="122" t="str">
        <f t="shared" si="20"/>
        <v/>
      </c>
      <c r="G202" s="117"/>
      <c r="H202" s="117"/>
      <c r="I202" s="117"/>
      <c r="J202" s="84"/>
      <c r="L202" s="75" t="str">
        <f t="shared" si="21"/>
        <v/>
      </c>
      <c r="M202" s="75" t="str">
        <f t="shared" si="22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8"/>
        <v/>
      </c>
      <c r="D203" s="72" t="str">
        <f t="shared" si="19"/>
        <v/>
      </c>
      <c r="E203" s="84"/>
      <c r="F203" s="122" t="str">
        <f t="shared" si="20"/>
        <v/>
      </c>
      <c r="G203" s="117"/>
      <c r="H203" s="117"/>
      <c r="I203" s="117"/>
      <c r="J203" s="84"/>
      <c r="L203" s="75" t="str">
        <f t="shared" si="21"/>
        <v/>
      </c>
      <c r="M203" s="75" t="str">
        <f t="shared" si="22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8"/>
        <v/>
      </c>
      <c r="D204" s="72" t="str">
        <f t="shared" si="19"/>
        <v/>
      </c>
      <c r="E204" s="84"/>
      <c r="F204" s="122" t="str">
        <f t="shared" si="20"/>
        <v/>
      </c>
      <c r="G204" s="117"/>
      <c r="H204" s="117"/>
      <c r="I204" s="117"/>
      <c r="J204" s="84"/>
      <c r="L204" s="75" t="str">
        <f t="shared" si="21"/>
        <v/>
      </c>
      <c r="M204" s="75" t="str">
        <f t="shared" si="22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8"/>
        <v/>
      </c>
      <c r="D205" s="72" t="str">
        <f t="shared" si="19"/>
        <v/>
      </c>
      <c r="E205" s="84"/>
      <c r="F205" s="122" t="str">
        <f t="shared" si="20"/>
        <v/>
      </c>
      <c r="G205" s="117"/>
      <c r="H205" s="117"/>
      <c r="I205" s="117"/>
      <c r="J205" s="84"/>
      <c r="L205" s="75" t="str">
        <f t="shared" si="21"/>
        <v/>
      </c>
      <c r="M205" s="75" t="str">
        <f t="shared" si="22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8"/>
        <v/>
      </c>
      <c r="D206" s="72" t="str">
        <f t="shared" si="19"/>
        <v/>
      </c>
      <c r="E206" s="84"/>
      <c r="F206" s="122" t="str">
        <f t="shared" si="20"/>
        <v/>
      </c>
      <c r="G206" s="117"/>
      <c r="H206" s="117"/>
      <c r="I206" s="117"/>
      <c r="J206" s="84"/>
      <c r="L206" s="75" t="str">
        <f t="shared" si="21"/>
        <v/>
      </c>
      <c r="M206" s="75" t="str">
        <f t="shared" si="22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8"/>
        <v/>
      </c>
      <c r="D207" s="72" t="str">
        <f t="shared" si="19"/>
        <v/>
      </c>
      <c r="E207" s="84"/>
      <c r="F207" s="122" t="str">
        <f t="shared" si="20"/>
        <v/>
      </c>
      <c r="G207" s="117"/>
      <c r="H207" s="117"/>
      <c r="I207" s="117"/>
      <c r="J207" s="84"/>
      <c r="L207" s="75" t="str">
        <f t="shared" si="21"/>
        <v/>
      </c>
      <c r="M207" s="75" t="str">
        <f t="shared" si="22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8"/>
        <v/>
      </c>
      <c r="D208" s="72" t="str">
        <f t="shared" si="19"/>
        <v/>
      </c>
      <c r="E208" s="84"/>
      <c r="F208" s="122" t="str">
        <f t="shared" si="20"/>
        <v/>
      </c>
      <c r="G208" s="117"/>
      <c r="H208" s="117"/>
      <c r="I208" s="117"/>
      <c r="J208" s="84"/>
      <c r="L208" s="75" t="str">
        <f t="shared" si="21"/>
        <v/>
      </c>
      <c r="M208" s="75" t="str">
        <f t="shared" si="22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8"/>
        <v/>
      </c>
      <c r="D209" s="72" t="str">
        <f t="shared" si="19"/>
        <v/>
      </c>
      <c r="E209" s="84"/>
      <c r="F209" s="122" t="str">
        <f t="shared" si="20"/>
        <v/>
      </c>
      <c r="G209" s="117"/>
      <c r="H209" s="117"/>
      <c r="I209" s="117"/>
      <c r="J209" s="84"/>
      <c r="L209" s="75" t="str">
        <f t="shared" si="21"/>
        <v/>
      </c>
      <c r="M209" s="75" t="str">
        <f t="shared" si="22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8"/>
        <v/>
      </c>
      <c r="D210" s="72" t="str">
        <f t="shared" si="19"/>
        <v/>
      </c>
      <c r="E210" s="84"/>
      <c r="F210" s="122" t="str">
        <f t="shared" si="20"/>
        <v/>
      </c>
      <c r="G210" s="117"/>
      <c r="H210" s="117"/>
      <c r="I210" s="117"/>
      <c r="J210" s="84"/>
      <c r="L210" s="75" t="str">
        <f t="shared" si="21"/>
        <v/>
      </c>
      <c r="M210" s="75" t="str">
        <f t="shared" si="22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8"/>
        <v/>
      </c>
      <c r="D211" s="72" t="str">
        <f t="shared" si="19"/>
        <v/>
      </c>
      <c r="E211" s="84"/>
      <c r="F211" s="122" t="str">
        <f t="shared" si="20"/>
        <v/>
      </c>
      <c r="G211" s="117"/>
      <c r="H211" s="117"/>
      <c r="I211" s="117"/>
      <c r="J211" s="84"/>
      <c r="L211" s="75" t="str">
        <f t="shared" si="21"/>
        <v/>
      </c>
      <c r="M211" s="75" t="str">
        <f t="shared" si="22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8"/>
        <v/>
      </c>
      <c r="D212" s="72" t="str">
        <f t="shared" si="19"/>
        <v/>
      </c>
      <c r="E212" s="84"/>
      <c r="F212" s="122" t="str">
        <f t="shared" si="20"/>
        <v/>
      </c>
      <c r="G212" s="117"/>
      <c r="H212" s="117"/>
      <c r="I212" s="117"/>
      <c r="J212" s="84"/>
      <c r="L212" s="75" t="str">
        <f t="shared" si="21"/>
        <v/>
      </c>
      <c r="M212" s="75" t="str">
        <f t="shared" si="22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8"/>
        <v/>
      </c>
      <c r="D213" s="72" t="str">
        <f t="shared" si="19"/>
        <v/>
      </c>
      <c r="E213" s="84"/>
      <c r="F213" s="122" t="str">
        <f t="shared" si="20"/>
        <v/>
      </c>
      <c r="G213" s="117"/>
      <c r="H213" s="117"/>
      <c r="I213" s="117"/>
      <c r="J213" s="84"/>
      <c r="L213" s="75" t="str">
        <f t="shared" si="21"/>
        <v/>
      </c>
      <c r="M213" s="75" t="str">
        <f t="shared" si="22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8"/>
        <v/>
      </c>
      <c r="D214" s="72" t="str">
        <f t="shared" si="19"/>
        <v/>
      </c>
      <c r="E214" s="84"/>
      <c r="F214" s="122" t="str">
        <f t="shared" si="20"/>
        <v/>
      </c>
      <c r="G214" s="117"/>
      <c r="H214" s="117"/>
      <c r="I214" s="117"/>
      <c r="J214" s="84"/>
      <c r="L214" s="75" t="str">
        <f t="shared" si="21"/>
        <v/>
      </c>
      <c r="M214" s="75" t="str">
        <f t="shared" si="22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8"/>
        <v/>
      </c>
      <c r="D215" s="72" t="str">
        <f t="shared" si="19"/>
        <v/>
      </c>
      <c r="E215" s="84"/>
      <c r="F215" s="122" t="str">
        <f t="shared" si="20"/>
        <v/>
      </c>
      <c r="G215" s="117"/>
      <c r="H215" s="117"/>
      <c r="I215" s="117"/>
      <c r="J215" s="84"/>
      <c r="L215" s="75" t="str">
        <f t="shared" si="21"/>
        <v/>
      </c>
      <c r="M215" s="75" t="str">
        <f t="shared" si="22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8"/>
        <v/>
      </c>
      <c r="D216" s="72" t="str">
        <f t="shared" si="19"/>
        <v/>
      </c>
      <c r="E216" s="84"/>
      <c r="F216" s="122" t="str">
        <f t="shared" si="20"/>
        <v/>
      </c>
      <c r="G216" s="117"/>
      <c r="H216" s="117"/>
      <c r="I216" s="117"/>
      <c r="J216" s="84"/>
      <c r="L216" s="75" t="str">
        <f t="shared" si="21"/>
        <v/>
      </c>
      <c r="M216" s="75" t="str">
        <f t="shared" si="22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8"/>
        <v/>
      </c>
      <c r="D217" s="72" t="str">
        <f t="shared" si="19"/>
        <v/>
      </c>
      <c r="E217" s="84"/>
      <c r="F217" s="122" t="str">
        <f t="shared" si="20"/>
        <v/>
      </c>
      <c r="G217" s="117"/>
      <c r="H217" s="117"/>
      <c r="I217" s="117"/>
      <c r="J217" s="84"/>
      <c r="L217" s="75" t="str">
        <f t="shared" si="21"/>
        <v/>
      </c>
      <c r="M217" s="75" t="str">
        <f t="shared" si="22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8"/>
        <v/>
      </c>
      <c r="D218" s="72" t="str">
        <f t="shared" si="19"/>
        <v/>
      </c>
      <c r="E218" s="84"/>
      <c r="F218" s="122" t="str">
        <f t="shared" si="20"/>
        <v/>
      </c>
      <c r="G218" s="117"/>
      <c r="H218" s="117"/>
      <c r="I218" s="117"/>
      <c r="J218" s="84"/>
      <c r="L218" s="75" t="str">
        <f t="shared" si="21"/>
        <v/>
      </c>
      <c r="M218" s="75" t="str">
        <f t="shared" si="22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8"/>
        <v/>
      </c>
      <c r="D219" s="72" t="str">
        <f t="shared" si="19"/>
        <v/>
      </c>
      <c r="E219" s="84"/>
      <c r="F219" s="122" t="str">
        <f t="shared" si="20"/>
        <v/>
      </c>
      <c r="G219" s="117"/>
      <c r="H219" s="117"/>
      <c r="I219" s="117"/>
      <c r="J219" s="84"/>
      <c r="L219" s="75" t="str">
        <f t="shared" si="21"/>
        <v/>
      </c>
      <c r="M219" s="75" t="str">
        <f t="shared" si="22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8"/>
        <v/>
      </c>
      <c r="D220" s="72" t="str">
        <f t="shared" si="19"/>
        <v/>
      </c>
      <c r="E220" s="84"/>
      <c r="F220" s="122" t="str">
        <f t="shared" si="20"/>
        <v/>
      </c>
      <c r="G220" s="117"/>
      <c r="H220" s="117"/>
      <c r="I220" s="117"/>
      <c r="J220" s="84"/>
      <c r="L220" s="75" t="str">
        <f t="shared" si="21"/>
        <v/>
      </c>
      <c r="M220" s="75" t="str">
        <f t="shared" si="22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8"/>
        <v/>
      </c>
      <c r="D221" s="72" t="str">
        <f t="shared" si="19"/>
        <v/>
      </c>
      <c r="E221" s="84"/>
      <c r="F221" s="122" t="str">
        <f t="shared" si="20"/>
        <v/>
      </c>
      <c r="G221" s="117"/>
      <c r="H221" s="117"/>
      <c r="I221" s="117"/>
      <c r="J221" s="84"/>
      <c r="L221" s="75" t="str">
        <f t="shared" si="21"/>
        <v/>
      </c>
      <c r="M221" s="75" t="str">
        <f t="shared" si="22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8"/>
        <v/>
      </c>
      <c r="D222" s="72" t="str">
        <f t="shared" si="19"/>
        <v/>
      </c>
      <c r="E222" s="84"/>
      <c r="F222" s="122" t="str">
        <f t="shared" si="20"/>
        <v/>
      </c>
      <c r="G222" s="117"/>
      <c r="H222" s="117"/>
      <c r="I222" s="117"/>
      <c r="J222" s="84"/>
      <c r="L222" s="75" t="str">
        <f t="shared" si="21"/>
        <v/>
      </c>
      <c r="M222" s="75" t="str">
        <f t="shared" si="22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8"/>
        <v/>
      </c>
      <c r="D223" s="72" t="str">
        <f t="shared" si="19"/>
        <v/>
      </c>
      <c r="E223" s="84"/>
      <c r="F223" s="122" t="str">
        <f t="shared" si="20"/>
        <v/>
      </c>
      <c r="G223" s="117"/>
      <c r="H223" s="117"/>
      <c r="I223" s="117"/>
      <c r="J223" s="84"/>
      <c r="L223" s="75" t="str">
        <f t="shared" si="21"/>
        <v/>
      </c>
      <c r="M223" s="75" t="str">
        <f t="shared" si="22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8"/>
        <v/>
      </c>
      <c r="D224" s="72" t="str">
        <f t="shared" si="19"/>
        <v/>
      </c>
      <c r="E224" s="84"/>
      <c r="F224" s="122" t="str">
        <f t="shared" si="20"/>
        <v/>
      </c>
      <c r="G224" s="117"/>
      <c r="H224" s="117"/>
      <c r="I224" s="117"/>
      <c r="J224" s="84"/>
      <c r="L224" s="75" t="str">
        <f t="shared" si="21"/>
        <v/>
      </c>
      <c r="M224" s="75" t="str">
        <f t="shared" si="22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8"/>
        <v/>
      </c>
      <c r="D225" s="72" t="str">
        <f t="shared" si="19"/>
        <v/>
      </c>
      <c r="E225" s="84"/>
      <c r="F225" s="122" t="str">
        <f t="shared" si="20"/>
        <v/>
      </c>
      <c r="G225" s="117"/>
      <c r="H225" s="117"/>
      <c r="I225" s="117"/>
      <c r="J225" s="84"/>
      <c r="L225" s="75" t="str">
        <f t="shared" si="21"/>
        <v/>
      </c>
      <c r="M225" s="75" t="str">
        <f t="shared" si="22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8"/>
        <v/>
      </c>
      <c r="D226" s="72" t="str">
        <f t="shared" si="19"/>
        <v/>
      </c>
      <c r="E226" s="84"/>
      <c r="F226" s="122" t="str">
        <f t="shared" si="20"/>
        <v/>
      </c>
      <c r="G226" s="117"/>
      <c r="H226" s="117"/>
      <c r="I226" s="117"/>
      <c r="J226" s="84"/>
      <c r="L226" s="75" t="str">
        <f t="shared" si="21"/>
        <v/>
      </c>
      <c r="M226" s="75" t="str">
        <f t="shared" si="22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8"/>
        <v/>
      </c>
      <c r="D227" s="72" t="str">
        <f t="shared" si="19"/>
        <v/>
      </c>
      <c r="E227" s="84"/>
      <c r="F227" s="122" t="str">
        <f t="shared" si="20"/>
        <v/>
      </c>
      <c r="G227" s="117"/>
      <c r="H227" s="117"/>
      <c r="I227" s="117"/>
      <c r="J227" s="84"/>
      <c r="L227" s="75" t="str">
        <f t="shared" si="21"/>
        <v/>
      </c>
      <c r="M227" s="75" t="str">
        <f t="shared" si="22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8"/>
        <v/>
      </c>
      <c r="D228" s="72" t="str">
        <f t="shared" si="19"/>
        <v/>
      </c>
      <c r="E228" s="84"/>
      <c r="F228" s="122" t="str">
        <f t="shared" si="20"/>
        <v/>
      </c>
      <c r="G228" s="117"/>
      <c r="H228" s="117"/>
      <c r="I228" s="117"/>
      <c r="J228" s="84"/>
      <c r="L228" s="75" t="str">
        <f t="shared" si="21"/>
        <v/>
      </c>
      <c r="M228" s="75" t="str">
        <f t="shared" si="22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8"/>
        <v/>
      </c>
      <c r="D229" s="72" t="str">
        <f t="shared" si="19"/>
        <v/>
      </c>
      <c r="E229" s="84"/>
      <c r="F229" s="122" t="str">
        <f t="shared" si="20"/>
        <v/>
      </c>
      <c r="G229" s="117"/>
      <c r="H229" s="117"/>
      <c r="I229" s="117"/>
      <c r="J229" s="84"/>
      <c r="L229" s="75" t="str">
        <f t="shared" si="21"/>
        <v/>
      </c>
      <c r="M229" s="75" t="str">
        <f t="shared" si="22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8"/>
        <v/>
      </c>
      <c r="D230" s="72" t="str">
        <f t="shared" si="19"/>
        <v/>
      </c>
      <c r="E230" s="84"/>
      <c r="F230" s="122" t="str">
        <f t="shared" si="20"/>
        <v/>
      </c>
      <c r="G230" s="117"/>
      <c r="H230" s="117"/>
      <c r="I230" s="117"/>
      <c r="J230" s="84"/>
      <c r="L230" s="75" t="str">
        <f t="shared" si="21"/>
        <v/>
      </c>
      <c r="M230" s="75" t="str">
        <f t="shared" si="22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8"/>
        <v/>
      </c>
      <c r="D231" s="72" t="str">
        <f t="shared" si="19"/>
        <v/>
      </c>
      <c r="E231" s="84"/>
      <c r="F231" s="122" t="str">
        <f t="shared" si="20"/>
        <v/>
      </c>
      <c r="G231" s="117"/>
      <c r="H231" s="117"/>
      <c r="I231" s="117"/>
      <c r="J231" s="84"/>
      <c r="L231" s="75" t="str">
        <f t="shared" si="21"/>
        <v/>
      </c>
      <c r="M231" s="75" t="str">
        <f t="shared" si="22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8"/>
        <v/>
      </c>
      <c r="D232" s="72" t="str">
        <f t="shared" si="19"/>
        <v/>
      </c>
      <c r="E232" s="84"/>
      <c r="F232" s="122" t="str">
        <f t="shared" si="20"/>
        <v/>
      </c>
      <c r="G232" s="117"/>
      <c r="H232" s="117"/>
      <c r="I232" s="117"/>
      <c r="J232" s="84"/>
      <c r="L232" s="75" t="str">
        <f t="shared" si="21"/>
        <v/>
      </c>
      <c r="M232" s="75" t="str">
        <f t="shared" si="22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8"/>
        <v/>
      </c>
      <c r="D233" s="72" t="str">
        <f t="shared" si="19"/>
        <v/>
      </c>
      <c r="E233" s="84"/>
      <c r="F233" s="122" t="str">
        <f t="shared" si="20"/>
        <v/>
      </c>
      <c r="G233" s="117"/>
      <c r="H233" s="117"/>
      <c r="I233" s="117"/>
      <c r="J233" s="84"/>
      <c r="L233" s="75" t="str">
        <f t="shared" si="21"/>
        <v/>
      </c>
      <c r="M233" s="75" t="str">
        <f t="shared" si="22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8"/>
        <v/>
      </c>
      <c r="D234" s="72" t="str">
        <f t="shared" si="19"/>
        <v/>
      </c>
      <c r="E234" s="84"/>
      <c r="F234" s="122" t="str">
        <f t="shared" si="20"/>
        <v/>
      </c>
      <c r="G234" s="117"/>
      <c r="H234" s="117"/>
      <c r="I234" s="117"/>
      <c r="J234" s="84"/>
      <c r="L234" s="75" t="str">
        <f t="shared" si="21"/>
        <v/>
      </c>
      <c r="M234" s="75" t="str">
        <f t="shared" si="22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8"/>
        <v/>
      </c>
      <c r="D235" s="72" t="str">
        <f t="shared" si="19"/>
        <v/>
      </c>
      <c r="E235" s="84"/>
      <c r="F235" s="122" t="str">
        <f t="shared" si="20"/>
        <v/>
      </c>
      <c r="G235" s="117"/>
      <c r="H235" s="117"/>
      <c r="I235" s="117"/>
      <c r="J235" s="84"/>
      <c r="L235" s="75" t="str">
        <f t="shared" si="21"/>
        <v/>
      </c>
      <c r="M235" s="75" t="str">
        <f t="shared" si="22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8"/>
        <v/>
      </c>
      <c r="D236" s="72" t="str">
        <f t="shared" si="19"/>
        <v/>
      </c>
      <c r="E236" s="84"/>
      <c r="F236" s="122" t="str">
        <f t="shared" si="20"/>
        <v/>
      </c>
      <c r="G236" s="117"/>
      <c r="H236" s="117"/>
      <c r="I236" s="117"/>
      <c r="J236" s="84"/>
      <c r="L236" s="75" t="str">
        <f t="shared" si="21"/>
        <v/>
      </c>
      <c r="M236" s="75" t="str">
        <f t="shared" si="22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8"/>
        <v/>
      </c>
      <c r="D237" s="72" t="str">
        <f t="shared" si="19"/>
        <v/>
      </c>
      <c r="E237" s="84"/>
      <c r="F237" s="122" t="str">
        <f t="shared" si="20"/>
        <v/>
      </c>
      <c r="G237" s="117"/>
      <c r="H237" s="117"/>
      <c r="I237" s="117"/>
      <c r="J237" s="84"/>
      <c r="L237" s="75" t="str">
        <f t="shared" si="21"/>
        <v/>
      </c>
      <c r="M237" s="75" t="str">
        <f t="shared" si="22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8"/>
        <v/>
      </c>
      <c r="D238" s="72" t="str">
        <f t="shared" si="19"/>
        <v/>
      </c>
      <c r="E238" s="84"/>
      <c r="F238" s="122" t="str">
        <f t="shared" si="20"/>
        <v/>
      </c>
      <c r="G238" s="117"/>
      <c r="H238" s="117"/>
      <c r="I238" s="117"/>
      <c r="J238" s="84"/>
      <c r="L238" s="75" t="str">
        <f t="shared" si="21"/>
        <v/>
      </c>
      <c r="M238" s="75" t="str">
        <f t="shared" si="22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8"/>
        <v/>
      </c>
      <c r="D239" s="72" t="str">
        <f t="shared" si="19"/>
        <v/>
      </c>
      <c r="E239" s="84"/>
      <c r="F239" s="122" t="str">
        <f t="shared" si="20"/>
        <v/>
      </c>
      <c r="G239" s="117"/>
      <c r="H239" s="117"/>
      <c r="I239" s="117"/>
      <c r="J239" s="84"/>
      <c r="L239" s="75" t="str">
        <f t="shared" si="21"/>
        <v/>
      </c>
      <c r="M239" s="75" t="str">
        <f t="shared" si="22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8"/>
        <v/>
      </c>
      <c r="D240" s="72" t="str">
        <f t="shared" si="19"/>
        <v/>
      </c>
      <c r="E240" s="84"/>
      <c r="F240" s="122" t="str">
        <f t="shared" si="20"/>
        <v/>
      </c>
      <c r="G240" s="117"/>
      <c r="H240" s="117"/>
      <c r="I240" s="117"/>
      <c r="J240" s="84"/>
      <c r="L240" s="75" t="str">
        <f t="shared" si="21"/>
        <v/>
      </c>
      <c r="M240" s="75" t="str">
        <f t="shared" si="22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8"/>
        <v/>
      </c>
      <c r="D241" s="72" t="str">
        <f t="shared" si="19"/>
        <v/>
      </c>
      <c r="E241" s="84"/>
      <c r="F241" s="122" t="str">
        <f t="shared" si="20"/>
        <v/>
      </c>
      <c r="G241" s="117"/>
      <c r="H241" s="117"/>
      <c r="I241" s="117"/>
      <c r="J241" s="84"/>
      <c r="L241" s="75" t="str">
        <f t="shared" si="21"/>
        <v/>
      </c>
      <c r="M241" s="75" t="str">
        <f t="shared" si="22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8"/>
        <v/>
      </c>
      <c r="D242" s="72" t="str">
        <f t="shared" si="19"/>
        <v/>
      </c>
      <c r="E242" s="84"/>
      <c r="F242" s="122" t="str">
        <f t="shared" si="20"/>
        <v/>
      </c>
      <c r="G242" s="117"/>
      <c r="H242" s="117"/>
      <c r="I242" s="117"/>
      <c r="J242" s="84"/>
      <c r="L242" s="75" t="str">
        <f t="shared" si="21"/>
        <v/>
      </c>
      <c r="M242" s="75" t="str">
        <f t="shared" si="22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8"/>
        <v/>
      </c>
      <c r="D243" s="72" t="str">
        <f t="shared" si="19"/>
        <v/>
      </c>
      <c r="E243" s="84"/>
      <c r="F243" s="122" t="str">
        <f t="shared" si="20"/>
        <v/>
      </c>
      <c r="G243" s="117"/>
      <c r="H243" s="117"/>
      <c r="I243" s="117"/>
      <c r="J243" s="84"/>
      <c r="L243" s="75" t="str">
        <f t="shared" si="21"/>
        <v/>
      </c>
      <c r="M243" s="75" t="str">
        <f t="shared" si="22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8"/>
        <v/>
      </c>
      <c r="D244" s="72" t="str">
        <f t="shared" si="19"/>
        <v/>
      </c>
      <c r="E244" s="84"/>
      <c r="F244" s="122" t="str">
        <f t="shared" si="20"/>
        <v/>
      </c>
      <c r="G244" s="117"/>
      <c r="H244" s="117"/>
      <c r="I244" s="117"/>
      <c r="J244" s="84"/>
      <c r="L244" s="75" t="str">
        <f t="shared" si="21"/>
        <v/>
      </c>
      <c r="M244" s="75" t="str">
        <f t="shared" si="22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8"/>
        <v/>
      </c>
      <c r="D245" s="72" t="str">
        <f t="shared" si="19"/>
        <v/>
      </c>
      <c r="E245" s="84"/>
      <c r="F245" s="122" t="str">
        <f t="shared" si="20"/>
        <v/>
      </c>
      <c r="G245" s="117"/>
      <c r="H245" s="117"/>
      <c r="I245" s="117"/>
      <c r="J245" s="84"/>
      <c r="L245" s="75" t="str">
        <f t="shared" si="21"/>
        <v/>
      </c>
      <c r="M245" s="75" t="str">
        <f t="shared" si="22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8"/>
        <v/>
      </c>
      <c r="D246" s="72" t="str">
        <f t="shared" si="19"/>
        <v/>
      </c>
      <c r="E246" s="84"/>
      <c r="F246" s="122" t="str">
        <f t="shared" si="20"/>
        <v/>
      </c>
      <c r="G246" s="117"/>
      <c r="H246" s="117"/>
      <c r="I246" s="117"/>
      <c r="J246" s="84"/>
      <c r="L246" s="75" t="str">
        <f t="shared" si="21"/>
        <v/>
      </c>
      <c r="M246" s="75" t="str">
        <f t="shared" si="22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8"/>
        <v/>
      </c>
      <c r="D247" s="72" t="str">
        <f t="shared" si="19"/>
        <v/>
      </c>
      <c r="E247" s="84"/>
      <c r="F247" s="122" t="str">
        <f t="shared" si="20"/>
        <v/>
      </c>
      <c r="G247" s="117"/>
      <c r="H247" s="117"/>
      <c r="I247" s="117"/>
      <c r="J247" s="84"/>
      <c r="L247" s="75" t="str">
        <f t="shared" si="21"/>
        <v/>
      </c>
      <c r="M247" s="75" t="str">
        <f t="shared" si="22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8"/>
        <v/>
      </c>
      <c r="D248" s="72" t="str">
        <f t="shared" si="19"/>
        <v/>
      </c>
      <c r="E248" s="84"/>
      <c r="F248" s="122" t="str">
        <f t="shared" si="20"/>
        <v/>
      </c>
      <c r="G248" s="117"/>
      <c r="H248" s="117"/>
      <c r="I248" s="117"/>
      <c r="J248" s="84"/>
      <c r="L248" s="75" t="str">
        <f t="shared" si="21"/>
        <v/>
      </c>
      <c r="M248" s="75" t="str">
        <f t="shared" si="22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8"/>
        <v/>
      </c>
      <c r="D249" s="72" t="str">
        <f t="shared" si="19"/>
        <v/>
      </c>
      <c r="E249" s="84"/>
      <c r="F249" s="122" t="str">
        <f t="shared" si="20"/>
        <v/>
      </c>
      <c r="G249" s="117"/>
      <c r="H249" s="117"/>
      <c r="I249" s="117"/>
      <c r="J249" s="84"/>
      <c r="L249" s="75" t="str">
        <f t="shared" si="21"/>
        <v/>
      </c>
      <c r="M249" s="75" t="str">
        <f t="shared" si="22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8"/>
        <v/>
      </c>
      <c r="D250" s="72" t="str">
        <f t="shared" si="19"/>
        <v/>
      </c>
      <c r="E250" s="84"/>
      <c r="F250" s="122" t="str">
        <f t="shared" si="20"/>
        <v/>
      </c>
      <c r="G250" s="117"/>
      <c r="H250" s="117"/>
      <c r="I250" s="117"/>
      <c r="J250" s="84"/>
      <c r="L250" s="75" t="str">
        <f t="shared" si="21"/>
        <v/>
      </c>
      <c r="M250" s="75" t="str">
        <f t="shared" si="22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8"/>
        <v/>
      </c>
      <c r="D251" s="72" t="str">
        <f t="shared" si="19"/>
        <v/>
      </c>
      <c r="E251" s="84"/>
      <c r="F251" s="122" t="str">
        <f t="shared" si="20"/>
        <v/>
      </c>
      <c r="G251" s="117"/>
      <c r="H251" s="117"/>
      <c r="I251" s="117"/>
      <c r="J251" s="84"/>
      <c r="L251" s="75" t="str">
        <f t="shared" si="21"/>
        <v/>
      </c>
      <c r="M251" s="75" t="str">
        <f t="shared" si="22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8"/>
        <v/>
      </c>
      <c r="D252" s="72" t="str">
        <f t="shared" si="19"/>
        <v/>
      </c>
      <c r="E252" s="84"/>
      <c r="F252" s="122" t="str">
        <f t="shared" si="20"/>
        <v/>
      </c>
      <c r="G252" s="117"/>
      <c r="H252" s="117"/>
      <c r="I252" s="117"/>
      <c r="J252" s="84"/>
      <c r="L252" s="75" t="str">
        <f t="shared" si="21"/>
        <v/>
      </c>
      <c r="M252" s="75" t="str">
        <f t="shared" si="22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8"/>
        <v/>
      </c>
      <c r="D253" s="72" t="str">
        <f t="shared" si="19"/>
        <v/>
      </c>
      <c r="E253" s="84"/>
      <c r="F253" s="122" t="str">
        <f t="shared" si="20"/>
        <v/>
      </c>
      <c r="G253" s="117"/>
      <c r="H253" s="117"/>
      <c r="I253" s="117"/>
      <c r="J253" s="84"/>
      <c r="L253" s="75" t="str">
        <f t="shared" si="21"/>
        <v/>
      </c>
      <c r="M253" s="75" t="str">
        <f t="shared" si="22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8"/>
        <v/>
      </c>
      <c r="D254" s="72" t="str">
        <f t="shared" si="19"/>
        <v/>
      </c>
      <c r="E254" s="84"/>
      <c r="F254" s="122" t="str">
        <f t="shared" si="20"/>
        <v/>
      </c>
      <c r="G254" s="117"/>
      <c r="H254" s="117"/>
      <c r="I254" s="117"/>
      <c r="J254" s="84"/>
      <c r="L254" s="75" t="str">
        <f t="shared" si="21"/>
        <v/>
      </c>
      <c r="M254" s="75" t="str">
        <f t="shared" si="22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8"/>
        <v/>
      </c>
      <c r="D255" s="72" t="str">
        <f t="shared" si="19"/>
        <v/>
      </c>
      <c r="E255" s="84"/>
      <c r="F255" s="122" t="str">
        <f t="shared" si="20"/>
        <v/>
      </c>
      <c r="G255" s="117"/>
      <c r="H255" s="117"/>
      <c r="I255" s="117"/>
      <c r="J255" s="84"/>
      <c r="L255" s="75" t="str">
        <f t="shared" si="21"/>
        <v/>
      </c>
      <c r="M255" s="75" t="str">
        <f t="shared" si="22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8"/>
        <v/>
      </c>
      <c r="D256" s="72" t="str">
        <f t="shared" si="19"/>
        <v/>
      </c>
      <c r="E256" s="84"/>
      <c r="F256" s="122" t="str">
        <f t="shared" si="20"/>
        <v/>
      </c>
      <c r="G256" s="117"/>
      <c r="H256" s="117"/>
      <c r="I256" s="117"/>
      <c r="J256" s="84"/>
      <c r="L256" s="75" t="str">
        <f t="shared" si="21"/>
        <v/>
      </c>
      <c r="M256" s="75" t="str">
        <f t="shared" si="22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8"/>
        <v/>
      </c>
      <c r="D257" s="72" t="str">
        <f t="shared" si="19"/>
        <v/>
      </c>
      <c r="E257" s="84"/>
      <c r="F257" s="122" t="str">
        <f t="shared" si="20"/>
        <v/>
      </c>
      <c r="G257" s="117"/>
      <c r="H257" s="117"/>
      <c r="I257" s="117"/>
      <c r="J257" s="84"/>
      <c r="L257" s="75" t="str">
        <f t="shared" si="21"/>
        <v/>
      </c>
      <c r="M257" s="75" t="str">
        <f t="shared" si="22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ref="C258:C321" si="23">IFERROR(VLOOKUP(E258,$R$5:$U$112,3,FALSE),"")</f>
        <v/>
      </c>
      <c r="D258" s="72" t="str">
        <f t="shared" ref="D258:D321" si="24">IFERROR(VLOOKUP(E258,$R$5:$U$112,4,FALSE),"")</f>
        <v/>
      </c>
      <c r="E258" s="84"/>
      <c r="F258" s="122" t="str">
        <f t="shared" ref="F258:F321" si="25">IFERROR(VLOOKUP(E258,$R$5:$U$112,2,FALSE),"")</f>
        <v/>
      </c>
      <c r="G258" s="117"/>
      <c r="H258" s="117"/>
      <c r="I258" s="117"/>
      <c r="J258" s="84"/>
      <c r="L258" s="75" t="str">
        <f t="shared" si="21"/>
        <v/>
      </c>
      <c r="M258" s="75" t="str">
        <f t="shared" si="22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3"/>
        <v/>
      </c>
      <c r="D259" s="72" t="str">
        <f t="shared" si="24"/>
        <v/>
      </c>
      <c r="E259" s="84"/>
      <c r="F259" s="122" t="str">
        <f t="shared" si="25"/>
        <v/>
      </c>
      <c r="G259" s="117"/>
      <c r="H259" s="117"/>
      <c r="I259" s="117"/>
      <c r="J259" s="84"/>
      <c r="L259" s="75" t="str">
        <f t="shared" ref="L259:L322" si="26">LEFT(E259,2)</f>
        <v/>
      </c>
      <c r="M259" s="75" t="str">
        <f t="shared" ref="M259:M322" si="27">LEFT(E259,3)</f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3"/>
        <v/>
      </c>
      <c r="D260" s="72" t="str">
        <f t="shared" si="24"/>
        <v/>
      </c>
      <c r="E260" s="84"/>
      <c r="F260" s="122" t="str">
        <f t="shared" si="25"/>
        <v/>
      </c>
      <c r="G260" s="117"/>
      <c r="H260" s="117"/>
      <c r="I260" s="117"/>
      <c r="J260" s="84"/>
      <c r="L260" s="75" t="str">
        <f t="shared" si="26"/>
        <v/>
      </c>
      <c r="M260" s="75" t="str">
        <f t="shared" si="27"/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3"/>
        <v/>
      </c>
      <c r="D261" s="72" t="str">
        <f t="shared" si="24"/>
        <v/>
      </c>
      <c r="E261" s="84"/>
      <c r="F261" s="122" t="str">
        <f t="shared" si="25"/>
        <v/>
      </c>
      <c r="G261" s="117"/>
      <c r="H261" s="117"/>
      <c r="I261" s="117"/>
      <c r="J261" s="84"/>
      <c r="L261" s="75" t="str">
        <f t="shared" si="26"/>
        <v/>
      </c>
      <c r="M261" s="75" t="str">
        <f t="shared" si="27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3"/>
        <v/>
      </c>
      <c r="D262" s="72" t="str">
        <f t="shared" si="24"/>
        <v/>
      </c>
      <c r="E262" s="84"/>
      <c r="F262" s="122" t="str">
        <f t="shared" si="25"/>
        <v/>
      </c>
      <c r="G262" s="117"/>
      <c r="H262" s="117"/>
      <c r="I262" s="117"/>
      <c r="J262" s="84"/>
      <c r="L262" s="75" t="str">
        <f t="shared" si="26"/>
        <v/>
      </c>
      <c r="M262" s="75" t="str">
        <f t="shared" si="27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3"/>
        <v/>
      </c>
      <c r="D263" s="72" t="str">
        <f t="shared" si="24"/>
        <v/>
      </c>
      <c r="E263" s="84"/>
      <c r="F263" s="122" t="str">
        <f t="shared" si="25"/>
        <v/>
      </c>
      <c r="G263" s="117"/>
      <c r="H263" s="117"/>
      <c r="I263" s="117"/>
      <c r="J263" s="84"/>
      <c r="L263" s="75" t="str">
        <f t="shared" si="26"/>
        <v/>
      </c>
      <c r="M263" s="75" t="str">
        <f t="shared" si="27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3"/>
        <v/>
      </c>
      <c r="D264" s="72" t="str">
        <f t="shared" si="24"/>
        <v/>
      </c>
      <c r="E264" s="84"/>
      <c r="F264" s="122" t="str">
        <f t="shared" si="25"/>
        <v/>
      </c>
      <c r="G264" s="117"/>
      <c r="H264" s="117"/>
      <c r="I264" s="117"/>
      <c r="J264" s="84"/>
      <c r="L264" s="75" t="str">
        <f t="shared" si="26"/>
        <v/>
      </c>
      <c r="M264" s="75" t="str">
        <f t="shared" si="27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3"/>
        <v/>
      </c>
      <c r="D265" s="72" t="str">
        <f t="shared" si="24"/>
        <v/>
      </c>
      <c r="E265" s="84"/>
      <c r="F265" s="122" t="str">
        <f t="shared" si="25"/>
        <v/>
      </c>
      <c r="G265" s="117"/>
      <c r="H265" s="117"/>
      <c r="I265" s="117"/>
      <c r="J265" s="84"/>
      <c r="L265" s="75" t="str">
        <f t="shared" si="26"/>
        <v/>
      </c>
      <c r="M265" s="75" t="str">
        <f t="shared" si="27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3"/>
        <v/>
      </c>
      <c r="D266" s="72" t="str">
        <f t="shared" si="24"/>
        <v/>
      </c>
      <c r="E266" s="84"/>
      <c r="F266" s="122" t="str">
        <f t="shared" si="25"/>
        <v/>
      </c>
      <c r="G266" s="117"/>
      <c r="H266" s="117"/>
      <c r="I266" s="117"/>
      <c r="J266" s="84"/>
      <c r="L266" s="75" t="str">
        <f t="shared" si="26"/>
        <v/>
      </c>
      <c r="M266" s="75" t="str">
        <f t="shared" si="27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3"/>
        <v/>
      </c>
      <c r="D267" s="72" t="str">
        <f t="shared" si="24"/>
        <v/>
      </c>
      <c r="E267" s="84"/>
      <c r="F267" s="122" t="str">
        <f t="shared" si="25"/>
        <v/>
      </c>
      <c r="G267" s="117"/>
      <c r="H267" s="117"/>
      <c r="I267" s="117"/>
      <c r="J267" s="84"/>
      <c r="L267" s="75" t="str">
        <f t="shared" si="26"/>
        <v/>
      </c>
      <c r="M267" s="75" t="str">
        <f t="shared" si="27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3"/>
        <v/>
      </c>
      <c r="D268" s="72" t="str">
        <f t="shared" si="24"/>
        <v/>
      </c>
      <c r="E268" s="84"/>
      <c r="F268" s="122" t="str">
        <f t="shared" si="25"/>
        <v/>
      </c>
      <c r="G268" s="117"/>
      <c r="H268" s="117"/>
      <c r="I268" s="117"/>
      <c r="J268" s="84"/>
      <c r="L268" s="75" t="str">
        <f t="shared" si="26"/>
        <v/>
      </c>
      <c r="M268" s="75" t="str">
        <f t="shared" si="27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3"/>
        <v/>
      </c>
      <c r="D269" s="72" t="str">
        <f t="shared" si="24"/>
        <v/>
      </c>
      <c r="E269" s="84"/>
      <c r="F269" s="122" t="str">
        <f t="shared" si="25"/>
        <v/>
      </c>
      <c r="G269" s="117"/>
      <c r="H269" s="117"/>
      <c r="I269" s="117"/>
      <c r="J269" s="84"/>
      <c r="L269" s="75" t="str">
        <f t="shared" si="26"/>
        <v/>
      </c>
      <c r="M269" s="75" t="str">
        <f t="shared" si="27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3"/>
        <v/>
      </c>
      <c r="D270" s="72" t="str">
        <f t="shared" si="24"/>
        <v/>
      </c>
      <c r="E270" s="84"/>
      <c r="F270" s="122" t="str">
        <f t="shared" si="25"/>
        <v/>
      </c>
      <c r="G270" s="117"/>
      <c r="H270" s="117"/>
      <c r="I270" s="117"/>
      <c r="J270" s="84"/>
      <c r="L270" s="75" t="str">
        <f t="shared" si="26"/>
        <v/>
      </c>
      <c r="M270" s="75" t="str">
        <f t="shared" si="27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3"/>
        <v/>
      </c>
      <c r="D271" s="72" t="str">
        <f t="shared" si="24"/>
        <v/>
      </c>
      <c r="E271" s="84"/>
      <c r="F271" s="122" t="str">
        <f t="shared" si="25"/>
        <v/>
      </c>
      <c r="G271" s="117"/>
      <c r="H271" s="117"/>
      <c r="I271" s="117"/>
      <c r="J271" s="84"/>
      <c r="L271" s="75" t="str">
        <f t="shared" si="26"/>
        <v/>
      </c>
      <c r="M271" s="75" t="str">
        <f t="shared" si="27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3"/>
        <v/>
      </c>
      <c r="D272" s="72" t="str">
        <f t="shared" si="24"/>
        <v/>
      </c>
      <c r="E272" s="84"/>
      <c r="F272" s="122" t="str">
        <f t="shared" si="25"/>
        <v/>
      </c>
      <c r="G272" s="117"/>
      <c r="H272" s="117"/>
      <c r="I272" s="117"/>
      <c r="J272" s="84"/>
      <c r="L272" s="75" t="str">
        <f t="shared" si="26"/>
        <v/>
      </c>
      <c r="M272" s="75" t="str">
        <f t="shared" si="27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3"/>
        <v/>
      </c>
      <c r="D273" s="72" t="str">
        <f t="shared" si="24"/>
        <v/>
      </c>
      <c r="E273" s="84"/>
      <c r="F273" s="122" t="str">
        <f t="shared" si="25"/>
        <v/>
      </c>
      <c r="G273" s="117"/>
      <c r="H273" s="117"/>
      <c r="I273" s="117"/>
      <c r="J273" s="84"/>
      <c r="L273" s="75" t="str">
        <f t="shared" si="26"/>
        <v/>
      </c>
      <c r="M273" s="75" t="str">
        <f t="shared" si="27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3"/>
        <v/>
      </c>
      <c r="D274" s="72" t="str">
        <f t="shared" si="24"/>
        <v/>
      </c>
      <c r="E274" s="84"/>
      <c r="F274" s="122" t="str">
        <f t="shared" si="25"/>
        <v/>
      </c>
      <c r="G274" s="117"/>
      <c r="H274" s="117"/>
      <c r="I274" s="117"/>
      <c r="J274" s="84"/>
      <c r="L274" s="75" t="str">
        <f t="shared" si="26"/>
        <v/>
      </c>
      <c r="M274" s="75" t="str">
        <f t="shared" si="27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3"/>
        <v/>
      </c>
      <c r="D275" s="72" t="str">
        <f t="shared" si="24"/>
        <v/>
      </c>
      <c r="E275" s="84"/>
      <c r="F275" s="122" t="str">
        <f t="shared" si="25"/>
        <v/>
      </c>
      <c r="G275" s="117"/>
      <c r="H275" s="117"/>
      <c r="I275" s="117"/>
      <c r="J275" s="84"/>
      <c r="L275" s="75" t="str">
        <f t="shared" si="26"/>
        <v/>
      </c>
      <c r="M275" s="75" t="str">
        <f t="shared" si="27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3"/>
        <v/>
      </c>
      <c r="D276" s="72" t="str">
        <f t="shared" si="24"/>
        <v/>
      </c>
      <c r="E276" s="84"/>
      <c r="F276" s="122" t="str">
        <f t="shared" si="25"/>
        <v/>
      </c>
      <c r="G276" s="117"/>
      <c r="H276" s="117"/>
      <c r="I276" s="117"/>
      <c r="J276" s="84"/>
      <c r="L276" s="75" t="str">
        <f t="shared" si="26"/>
        <v/>
      </c>
      <c r="M276" s="75" t="str">
        <f t="shared" si="27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3"/>
        <v/>
      </c>
      <c r="D277" s="72" t="str">
        <f t="shared" si="24"/>
        <v/>
      </c>
      <c r="E277" s="84"/>
      <c r="F277" s="122" t="str">
        <f t="shared" si="25"/>
        <v/>
      </c>
      <c r="G277" s="117"/>
      <c r="H277" s="117"/>
      <c r="I277" s="117"/>
      <c r="J277" s="84"/>
      <c r="L277" s="75" t="str">
        <f t="shared" si="26"/>
        <v/>
      </c>
      <c r="M277" s="75" t="str">
        <f t="shared" si="27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3"/>
        <v/>
      </c>
      <c r="D278" s="72" t="str">
        <f t="shared" si="24"/>
        <v/>
      </c>
      <c r="E278" s="84"/>
      <c r="F278" s="122" t="str">
        <f t="shared" si="25"/>
        <v/>
      </c>
      <c r="G278" s="117"/>
      <c r="H278" s="117"/>
      <c r="I278" s="117"/>
      <c r="J278" s="84"/>
      <c r="L278" s="75" t="str">
        <f t="shared" si="26"/>
        <v/>
      </c>
      <c r="M278" s="75" t="str">
        <f t="shared" si="27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3"/>
        <v/>
      </c>
      <c r="D279" s="72" t="str">
        <f t="shared" si="24"/>
        <v/>
      </c>
      <c r="E279" s="84"/>
      <c r="F279" s="122" t="str">
        <f t="shared" si="25"/>
        <v/>
      </c>
      <c r="G279" s="117"/>
      <c r="H279" s="117"/>
      <c r="I279" s="117"/>
      <c r="J279" s="84"/>
      <c r="L279" s="75" t="str">
        <f t="shared" si="26"/>
        <v/>
      </c>
      <c r="M279" s="75" t="str">
        <f t="shared" si="27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3"/>
        <v/>
      </c>
      <c r="D280" s="72" t="str">
        <f t="shared" si="24"/>
        <v/>
      </c>
      <c r="E280" s="84"/>
      <c r="F280" s="122" t="str">
        <f t="shared" si="25"/>
        <v/>
      </c>
      <c r="G280" s="117"/>
      <c r="H280" s="117"/>
      <c r="I280" s="117"/>
      <c r="J280" s="84"/>
      <c r="L280" s="75" t="str">
        <f t="shared" si="26"/>
        <v/>
      </c>
      <c r="M280" s="75" t="str">
        <f t="shared" si="27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3"/>
        <v/>
      </c>
      <c r="D281" s="72" t="str">
        <f t="shared" si="24"/>
        <v/>
      </c>
      <c r="E281" s="84"/>
      <c r="F281" s="122" t="str">
        <f t="shared" si="25"/>
        <v/>
      </c>
      <c r="G281" s="117"/>
      <c r="H281" s="117"/>
      <c r="I281" s="117"/>
      <c r="J281" s="84"/>
      <c r="L281" s="75" t="str">
        <f t="shared" si="26"/>
        <v/>
      </c>
      <c r="M281" s="75" t="str">
        <f t="shared" si="27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3"/>
        <v/>
      </c>
      <c r="D282" s="72" t="str">
        <f t="shared" si="24"/>
        <v/>
      </c>
      <c r="E282" s="84"/>
      <c r="F282" s="122" t="str">
        <f t="shared" si="25"/>
        <v/>
      </c>
      <c r="G282" s="117"/>
      <c r="H282" s="117"/>
      <c r="I282" s="117"/>
      <c r="J282" s="84"/>
      <c r="L282" s="75" t="str">
        <f t="shared" si="26"/>
        <v/>
      </c>
      <c r="M282" s="75" t="str">
        <f t="shared" si="27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3"/>
        <v/>
      </c>
      <c r="D283" s="72" t="str">
        <f t="shared" si="24"/>
        <v/>
      </c>
      <c r="E283" s="84"/>
      <c r="F283" s="122" t="str">
        <f t="shared" si="25"/>
        <v/>
      </c>
      <c r="G283" s="117"/>
      <c r="H283" s="117"/>
      <c r="I283" s="117"/>
      <c r="J283" s="84"/>
      <c r="L283" s="75" t="str">
        <f t="shared" si="26"/>
        <v/>
      </c>
      <c r="M283" s="75" t="str">
        <f t="shared" si="27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3"/>
        <v/>
      </c>
      <c r="D284" s="72" t="str">
        <f t="shared" si="24"/>
        <v/>
      </c>
      <c r="E284" s="84"/>
      <c r="F284" s="122" t="str">
        <f t="shared" si="25"/>
        <v/>
      </c>
      <c r="G284" s="117"/>
      <c r="H284" s="117"/>
      <c r="I284" s="117"/>
      <c r="J284" s="84"/>
      <c r="L284" s="75" t="str">
        <f t="shared" si="26"/>
        <v/>
      </c>
      <c r="M284" s="75" t="str">
        <f t="shared" si="27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3"/>
        <v/>
      </c>
      <c r="D285" s="72" t="str">
        <f t="shared" si="24"/>
        <v/>
      </c>
      <c r="E285" s="84"/>
      <c r="F285" s="122" t="str">
        <f t="shared" si="25"/>
        <v/>
      </c>
      <c r="G285" s="117"/>
      <c r="H285" s="117"/>
      <c r="I285" s="117"/>
      <c r="J285" s="84"/>
      <c r="L285" s="75" t="str">
        <f t="shared" si="26"/>
        <v/>
      </c>
      <c r="M285" s="75" t="str">
        <f t="shared" si="27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3"/>
        <v/>
      </c>
      <c r="D286" s="72" t="str">
        <f t="shared" si="24"/>
        <v/>
      </c>
      <c r="E286" s="84"/>
      <c r="F286" s="122" t="str">
        <f t="shared" si="25"/>
        <v/>
      </c>
      <c r="G286" s="117"/>
      <c r="H286" s="117"/>
      <c r="I286" s="117"/>
      <c r="J286" s="84"/>
      <c r="L286" s="75" t="str">
        <f t="shared" si="26"/>
        <v/>
      </c>
      <c r="M286" s="75" t="str">
        <f t="shared" si="27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3"/>
        <v/>
      </c>
      <c r="D287" s="72" t="str">
        <f t="shared" si="24"/>
        <v/>
      </c>
      <c r="E287" s="84"/>
      <c r="F287" s="122" t="str">
        <f t="shared" si="25"/>
        <v/>
      </c>
      <c r="G287" s="117"/>
      <c r="H287" s="117"/>
      <c r="I287" s="117"/>
      <c r="J287" s="84"/>
      <c r="L287" s="75" t="str">
        <f t="shared" si="26"/>
        <v/>
      </c>
      <c r="M287" s="75" t="str">
        <f t="shared" si="27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3"/>
        <v/>
      </c>
      <c r="D288" s="72" t="str">
        <f t="shared" si="24"/>
        <v/>
      </c>
      <c r="E288" s="84"/>
      <c r="F288" s="122" t="str">
        <f t="shared" si="25"/>
        <v/>
      </c>
      <c r="G288" s="117"/>
      <c r="H288" s="117"/>
      <c r="I288" s="117"/>
      <c r="J288" s="84"/>
      <c r="L288" s="75" t="str">
        <f t="shared" si="26"/>
        <v/>
      </c>
      <c r="M288" s="75" t="str">
        <f t="shared" si="27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3"/>
        <v/>
      </c>
      <c r="D289" s="72" t="str">
        <f t="shared" si="24"/>
        <v/>
      </c>
      <c r="E289" s="84"/>
      <c r="F289" s="122" t="str">
        <f t="shared" si="25"/>
        <v/>
      </c>
      <c r="G289" s="117"/>
      <c r="H289" s="117"/>
      <c r="I289" s="117"/>
      <c r="J289" s="84"/>
      <c r="L289" s="75" t="str">
        <f t="shared" si="26"/>
        <v/>
      </c>
      <c r="M289" s="75" t="str">
        <f t="shared" si="27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3"/>
        <v/>
      </c>
      <c r="D290" s="72" t="str">
        <f t="shared" si="24"/>
        <v/>
      </c>
      <c r="E290" s="84"/>
      <c r="F290" s="122" t="str">
        <f t="shared" si="25"/>
        <v/>
      </c>
      <c r="G290" s="117"/>
      <c r="H290" s="117"/>
      <c r="I290" s="117"/>
      <c r="J290" s="84"/>
      <c r="L290" s="75" t="str">
        <f t="shared" si="26"/>
        <v/>
      </c>
      <c r="M290" s="75" t="str">
        <f t="shared" si="27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3"/>
        <v/>
      </c>
      <c r="D291" s="72" t="str">
        <f t="shared" si="24"/>
        <v/>
      </c>
      <c r="E291" s="84"/>
      <c r="F291" s="122" t="str">
        <f t="shared" si="25"/>
        <v/>
      </c>
      <c r="G291" s="117"/>
      <c r="H291" s="117"/>
      <c r="I291" s="117"/>
      <c r="J291" s="84"/>
      <c r="L291" s="75" t="str">
        <f t="shared" si="26"/>
        <v/>
      </c>
      <c r="M291" s="75" t="str">
        <f t="shared" si="27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3"/>
        <v/>
      </c>
      <c r="D292" s="72" t="str">
        <f t="shared" si="24"/>
        <v/>
      </c>
      <c r="E292" s="84"/>
      <c r="F292" s="122" t="str">
        <f t="shared" si="25"/>
        <v/>
      </c>
      <c r="G292" s="117"/>
      <c r="H292" s="117"/>
      <c r="I292" s="117"/>
      <c r="J292" s="84"/>
      <c r="L292" s="75" t="str">
        <f t="shared" si="26"/>
        <v/>
      </c>
      <c r="M292" s="75" t="str">
        <f t="shared" si="27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3"/>
        <v/>
      </c>
      <c r="D293" s="72" t="str">
        <f t="shared" si="24"/>
        <v/>
      </c>
      <c r="E293" s="84"/>
      <c r="F293" s="122" t="str">
        <f t="shared" si="25"/>
        <v/>
      </c>
      <c r="G293" s="117"/>
      <c r="H293" s="117"/>
      <c r="I293" s="117"/>
      <c r="J293" s="84"/>
      <c r="L293" s="75" t="str">
        <f t="shared" si="26"/>
        <v/>
      </c>
      <c r="M293" s="75" t="str">
        <f t="shared" si="27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3"/>
        <v/>
      </c>
      <c r="D294" s="72" t="str">
        <f t="shared" si="24"/>
        <v/>
      </c>
      <c r="E294" s="84"/>
      <c r="F294" s="122" t="str">
        <f t="shared" si="25"/>
        <v/>
      </c>
      <c r="G294" s="117"/>
      <c r="H294" s="117"/>
      <c r="I294" s="117"/>
      <c r="J294" s="84"/>
      <c r="L294" s="75" t="str">
        <f t="shared" si="26"/>
        <v/>
      </c>
      <c r="M294" s="75" t="str">
        <f t="shared" si="27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3"/>
        <v/>
      </c>
      <c r="D295" s="72" t="str">
        <f t="shared" si="24"/>
        <v/>
      </c>
      <c r="E295" s="84"/>
      <c r="F295" s="122" t="str">
        <f t="shared" si="25"/>
        <v/>
      </c>
      <c r="G295" s="117"/>
      <c r="H295" s="117"/>
      <c r="I295" s="117"/>
      <c r="J295" s="84"/>
      <c r="L295" s="75" t="str">
        <f t="shared" si="26"/>
        <v/>
      </c>
      <c r="M295" s="75" t="str">
        <f t="shared" si="27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3"/>
        <v/>
      </c>
      <c r="D296" s="72" t="str">
        <f t="shared" si="24"/>
        <v/>
      </c>
      <c r="E296" s="84"/>
      <c r="F296" s="122" t="str">
        <f t="shared" si="25"/>
        <v/>
      </c>
      <c r="G296" s="117"/>
      <c r="H296" s="117"/>
      <c r="I296" s="117"/>
      <c r="J296" s="84"/>
      <c r="L296" s="75" t="str">
        <f t="shared" si="26"/>
        <v/>
      </c>
      <c r="M296" s="75" t="str">
        <f t="shared" si="27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3"/>
        <v/>
      </c>
      <c r="D297" s="72" t="str">
        <f t="shared" si="24"/>
        <v/>
      </c>
      <c r="E297" s="84"/>
      <c r="F297" s="122" t="str">
        <f t="shared" si="25"/>
        <v/>
      </c>
      <c r="G297" s="117"/>
      <c r="H297" s="117"/>
      <c r="I297" s="117"/>
      <c r="J297" s="84"/>
      <c r="L297" s="75" t="str">
        <f t="shared" si="26"/>
        <v/>
      </c>
      <c r="M297" s="75" t="str">
        <f t="shared" si="27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3"/>
        <v/>
      </c>
      <c r="D298" s="72" t="str">
        <f t="shared" si="24"/>
        <v/>
      </c>
      <c r="E298" s="84"/>
      <c r="F298" s="122" t="str">
        <f t="shared" si="25"/>
        <v/>
      </c>
      <c r="G298" s="117"/>
      <c r="H298" s="117"/>
      <c r="I298" s="117"/>
      <c r="J298" s="84"/>
      <c r="L298" s="75" t="str">
        <f t="shared" si="26"/>
        <v/>
      </c>
      <c r="M298" s="75" t="str">
        <f t="shared" si="27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3"/>
        <v/>
      </c>
      <c r="D299" s="72" t="str">
        <f t="shared" si="24"/>
        <v/>
      </c>
      <c r="E299" s="84"/>
      <c r="F299" s="122" t="str">
        <f t="shared" si="25"/>
        <v/>
      </c>
      <c r="G299" s="117"/>
      <c r="H299" s="117"/>
      <c r="I299" s="117"/>
      <c r="J299" s="84"/>
      <c r="L299" s="75" t="str">
        <f t="shared" si="26"/>
        <v/>
      </c>
      <c r="M299" s="75" t="str">
        <f t="shared" si="27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3"/>
        <v/>
      </c>
      <c r="D300" s="72" t="str">
        <f t="shared" si="24"/>
        <v/>
      </c>
      <c r="E300" s="84"/>
      <c r="F300" s="122" t="str">
        <f t="shared" si="25"/>
        <v/>
      </c>
      <c r="G300" s="117"/>
      <c r="H300" s="117"/>
      <c r="I300" s="117"/>
      <c r="J300" s="84"/>
      <c r="L300" s="75" t="str">
        <f t="shared" si="26"/>
        <v/>
      </c>
      <c r="M300" s="75" t="str">
        <f t="shared" si="27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3"/>
        <v/>
      </c>
      <c r="D301" s="72" t="str">
        <f t="shared" si="24"/>
        <v/>
      </c>
      <c r="E301" s="84"/>
      <c r="F301" s="122" t="str">
        <f t="shared" si="25"/>
        <v/>
      </c>
      <c r="G301" s="117"/>
      <c r="H301" s="117"/>
      <c r="I301" s="117"/>
      <c r="J301" s="84"/>
      <c r="L301" s="75" t="str">
        <f t="shared" si="26"/>
        <v/>
      </c>
      <c r="M301" s="75" t="str">
        <f t="shared" si="27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3"/>
        <v/>
      </c>
      <c r="D302" s="72" t="str">
        <f t="shared" si="24"/>
        <v/>
      </c>
      <c r="E302" s="84"/>
      <c r="F302" s="122" t="str">
        <f t="shared" si="25"/>
        <v/>
      </c>
      <c r="G302" s="117"/>
      <c r="H302" s="117"/>
      <c r="I302" s="117"/>
      <c r="J302" s="84"/>
      <c r="L302" s="75" t="str">
        <f t="shared" si="26"/>
        <v/>
      </c>
      <c r="M302" s="75" t="str">
        <f t="shared" si="27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3"/>
        <v/>
      </c>
      <c r="D303" s="72" t="str">
        <f t="shared" si="24"/>
        <v/>
      </c>
      <c r="E303" s="84"/>
      <c r="F303" s="122" t="str">
        <f t="shared" si="25"/>
        <v/>
      </c>
      <c r="G303" s="117"/>
      <c r="H303" s="117"/>
      <c r="I303" s="117"/>
      <c r="J303" s="84"/>
      <c r="L303" s="75" t="str">
        <f t="shared" si="26"/>
        <v/>
      </c>
      <c r="M303" s="75" t="str">
        <f t="shared" si="27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3"/>
        <v/>
      </c>
      <c r="D304" s="72" t="str">
        <f t="shared" si="24"/>
        <v/>
      </c>
      <c r="E304" s="84"/>
      <c r="F304" s="122" t="str">
        <f t="shared" si="25"/>
        <v/>
      </c>
      <c r="G304" s="117"/>
      <c r="H304" s="117"/>
      <c r="I304" s="117"/>
      <c r="J304" s="84"/>
      <c r="L304" s="75" t="str">
        <f t="shared" si="26"/>
        <v/>
      </c>
      <c r="M304" s="75" t="str">
        <f t="shared" si="27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3"/>
        <v/>
      </c>
      <c r="D305" s="72" t="str">
        <f t="shared" si="24"/>
        <v/>
      </c>
      <c r="E305" s="84"/>
      <c r="F305" s="122" t="str">
        <f t="shared" si="25"/>
        <v/>
      </c>
      <c r="G305" s="117"/>
      <c r="H305" s="117"/>
      <c r="I305" s="117"/>
      <c r="J305" s="84"/>
      <c r="L305" s="75" t="str">
        <f t="shared" si="26"/>
        <v/>
      </c>
      <c r="M305" s="75" t="str">
        <f t="shared" si="27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3"/>
        <v/>
      </c>
      <c r="D306" s="72" t="str">
        <f t="shared" si="24"/>
        <v/>
      </c>
      <c r="E306" s="84"/>
      <c r="F306" s="122" t="str">
        <f t="shared" si="25"/>
        <v/>
      </c>
      <c r="G306" s="117"/>
      <c r="H306" s="117"/>
      <c r="I306" s="117"/>
      <c r="J306" s="84"/>
      <c r="L306" s="75" t="str">
        <f t="shared" si="26"/>
        <v/>
      </c>
      <c r="M306" s="75" t="str">
        <f t="shared" si="27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3"/>
        <v/>
      </c>
      <c r="D307" s="72" t="str">
        <f t="shared" si="24"/>
        <v/>
      </c>
      <c r="E307" s="84"/>
      <c r="F307" s="122" t="str">
        <f t="shared" si="25"/>
        <v/>
      </c>
      <c r="G307" s="117"/>
      <c r="H307" s="117"/>
      <c r="I307" s="117"/>
      <c r="J307" s="84"/>
      <c r="L307" s="75" t="str">
        <f t="shared" si="26"/>
        <v/>
      </c>
      <c r="M307" s="75" t="str">
        <f t="shared" si="27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3"/>
        <v/>
      </c>
      <c r="D308" s="72" t="str">
        <f t="shared" si="24"/>
        <v/>
      </c>
      <c r="E308" s="84"/>
      <c r="F308" s="122" t="str">
        <f t="shared" si="25"/>
        <v/>
      </c>
      <c r="G308" s="117"/>
      <c r="H308" s="117"/>
      <c r="I308" s="117"/>
      <c r="J308" s="84"/>
      <c r="L308" s="75" t="str">
        <f t="shared" si="26"/>
        <v/>
      </c>
      <c r="M308" s="75" t="str">
        <f t="shared" si="27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3"/>
        <v/>
      </c>
      <c r="D309" s="72" t="str">
        <f t="shared" si="24"/>
        <v/>
      </c>
      <c r="E309" s="84"/>
      <c r="F309" s="122" t="str">
        <f t="shared" si="25"/>
        <v/>
      </c>
      <c r="G309" s="117"/>
      <c r="H309" s="117"/>
      <c r="I309" s="117"/>
      <c r="J309" s="84"/>
      <c r="L309" s="75" t="str">
        <f t="shared" si="26"/>
        <v/>
      </c>
      <c r="M309" s="75" t="str">
        <f t="shared" si="27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3"/>
        <v/>
      </c>
      <c r="D310" s="72" t="str">
        <f t="shared" si="24"/>
        <v/>
      </c>
      <c r="E310" s="84"/>
      <c r="F310" s="122" t="str">
        <f t="shared" si="25"/>
        <v/>
      </c>
      <c r="G310" s="117"/>
      <c r="H310" s="117"/>
      <c r="I310" s="117"/>
      <c r="J310" s="84"/>
      <c r="L310" s="75" t="str">
        <f t="shared" si="26"/>
        <v/>
      </c>
      <c r="M310" s="75" t="str">
        <f t="shared" si="27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3"/>
        <v/>
      </c>
      <c r="D311" s="72" t="str">
        <f t="shared" si="24"/>
        <v/>
      </c>
      <c r="E311" s="84"/>
      <c r="F311" s="122" t="str">
        <f t="shared" si="25"/>
        <v/>
      </c>
      <c r="G311" s="117"/>
      <c r="H311" s="117"/>
      <c r="I311" s="117"/>
      <c r="J311" s="84"/>
      <c r="L311" s="75" t="str">
        <f t="shared" si="26"/>
        <v/>
      </c>
      <c r="M311" s="75" t="str">
        <f t="shared" si="27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3"/>
        <v/>
      </c>
      <c r="D312" s="72" t="str">
        <f t="shared" si="24"/>
        <v/>
      </c>
      <c r="E312" s="84"/>
      <c r="F312" s="122" t="str">
        <f t="shared" si="25"/>
        <v/>
      </c>
      <c r="G312" s="117"/>
      <c r="H312" s="117"/>
      <c r="I312" s="117"/>
      <c r="J312" s="84"/>
      <c r="L312" s="75" t="str">
        <f t="shared" si="26"/>
        <v/>
      </c>
      <c r="M312" s="75" t="str">
        <f t="shared" si="27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3"/>
        <v/>
      </c>
      <c r="D313" s="72" t="str">
        <f t="shared" si="24"/>
        <v/>
      </c>
      <c r="E313" s="84"/>
      <c r="F313" s="122" t="str">
        <f t="shared" si="25"/>
        <v/>
      </c>
      <c r="G313" s="117"/>
      <c r="H313" s="117"/>
      <c r="I313" s="117"/>
      <c r="J313" s="84"/>
      <c r="L313" s="75" t="str">
        <f t="shared" si="26"/>
        <v/>
      </c>
      <c r="M313" s="75" t="str">
        <f t="shared" si="27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3"/>
        <v/>
      </c>
      <c r="D314" s="72" t="str">
        <f t="shared" si="24"/>
        <v/>
      </c>
      <c r="E314" s="84"/>
      <c r="F314" s="122" t="str">
        <f t="shared" si="25"/>
        <v/>
      </c>
      <c r="G314" s="117"/>
      <c r="H314" s="117"/>
      <c r="I314" s="117"/>
      <c r="J314" s="84"/>
      <c r="L314" s="75" t="str">
        <f t="shared" si="26"/>
        <v/>
      </c>
      <c r="M314" s="75" t="str">
        <f t="shared" si="27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3"/>
        <v/>
      </c>
      <c r="D315" s="72" t="str">
        <f t="shared" si="24"/>
        <v/>
      </c>
      <c r="E315" s="84"/>
      <c r="F315" s="122" t="str">
        <f t="shared" si="25"/>
        <v/>
      </c>
      <c r="G315" s="117"/>
      <c r="H315" s="117"/>
      <c r="I315" s="117"/>
      <c r="J315" s="84"/>
      <c r="L315" s="75" t="str">
        <f t="shared" si="26"/>
        <v/>
      </c>
      <c r="M315" s="75" t="str">
        <f t="shared" si="27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3"/>
        <v/>
      </c>
      <c r="D316" s="72" t="str">
        <f t="shared" si="24"/>
        <v/>
      </c>
      <c r="E316" s="84"/>
      <c r="F316" s="122" t="str">
        <f t="shared" si="25"/>
        <v/>
      </c>
      <c r="G316" s="117"/>
      <c r="H316" s="117"/>
      <c r="I316" s="117"/>
      <c r="J316" s="84"/>
      <c r="L316" s="75" t="str">
        <f t="shared" si="26"/>
        <v/>
      </c>
      <c r="M316" s="75" t="str">
        <f t="shared" si="27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3"/>
        <v/>
      </c>
      <c r="D317" s="72" t="str">
        <f t="shared" si="24"/>
        <v/>
      </c>
      <c r="E317" s="84"/>
      <c r="F317" s="122" t="str">
        <f t="shared" si="25"/>
        <v/>
      </c>
      <c r="G317" s="117"/>
      <c r="H317" s="117"/>
      <c r="I317" s="117"/>
      <c r="J317" s="84"/>
      <c r="L317" s="75" t="str">
        <f t="shared" si="26"/>
        <v/>
      </c>
      <c r="M317" s="75" t="str">
        <f t="shared" si="27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3"/>
        <v/>
      </c>
      <c r="D318" s="72" t="str">
        <f t="shared" si="24"/>
        <v/>
      </c>
      <c r="E318" s="84"/>
      <c r="F318" s="122" t="str">
        <f t="shared" si="25"/>
        <v/>
      </c>
      <c r="G318" s="117"/>
      <c r="H318" s="117"/>
      <c r="I318" s="117"/>
      <c r="J318" s="84"/>
      <c r="L318" s="75" t="str">
        <f t="shared" si="26"/>
        <v/>
      </c>
      <c r="M318" s="75" t="str">
        <f t="shared" si="27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3"/>
        <v/>
      </c>
      <c r="D319" s="72" t="str">
        <f t="shared" si="24"/>
        <v/>
      </c>
      <c r="E319" s="84"/>
      <c r="F319" s="122" t="str">
        <f t="shared" si="25"/>
        <v/>
      </c>
      <c r="G319" s="117"/>
      <c r="H319" s="117"/>
      <c r="I319" s="117"/>
      <c r="J319" s="84"/>
      <c r="L319" s="75" t="str">
        <f t="shared" si="26"/>
        <v/>
      </c>
      <c r="M319" s="75" t="str">
        <f t="shared" si="27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3"/>
        <v/>
      </c>
      <c r="D320" s="72" t="str">
        <f t="shared" si="24"/>
        <v/>
      </c>
      <c r="E320" s="84"/>
      <c r="F320" s="122" t="str">
        <f t="shared" si="25"/>
        <v/>
      </c>
      <c r="G320" s="117"/>
      <c r="H320" s="117"/>
      <c r="I320" s="117"/>
      <c r="J320" s="84"/>
      <c r="L320" s="75" t="str">
        <f t="shared" si="26"/>
        <v/>
      </c>
      <c r="M320" s="75" t="str">
        <f t="shared" si="27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3"/>
        <v/>
      </c>
      <c r="D321" s="72" t="str">
        <f t="shared" si="24"/>
        <v/>
      </c>
      <c r="E321" s="84"/>
      <c r="F321" s="122" t="str">
        <f t="shared" si="25"/>
        <v/>
      </c>
      <c r="G321" s="117"/>
      <c r="H321" s="117"/>
      <c r="I321" s="117"/>
      <c r="J321" s="84"/>
      <c r="L321" s="75" t="str">
        <f t="shared" si="26"/>
        <v/>
      </c>
      <c r="M321" s="75" t="str">
        <f t="shared" si="27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ref="C322:C385" si="28">IFERROR(VLOOKUP(E322,$R$5:$U$112,3,FALSE),"")</f>
        <v/>
      </c>
      <c r="D322" s="72" t="str">
        <f t="shared" ref="D322:D385" si="29">IFERROR(VLOOKUP(E322,$R$5:$U$112,4,FALSE),"")</f>
        <v/>
      </c>
      <c r="E322" s="84"/>
      <c r="F322" s="122" t="str">
        <f t="shared" ref="F322:F385" si="30">IFERROR(VLOOKUP(E322,$R$5:$U$112,2,FALSE),"")</f>
        <v/>
      </c>
      <c r="G322" s="117"/>
      <c r="H322" s="117"/>
      <c r="I322" s="117"/>
      <c r="J322" s="84"/>
      <c r="L322" s="75" t="str">
        <f t="shared" si="26"/>
        <v/>
      </c>
      <c r="M322" s="75" t="str">
        <f t="shared" si="27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8"/>
        <v/>
      </c>
      <c r="D323" s="72" t="str">
        <f t="shared" si="29"/>
        <v/>
      </c>
      <c r="E323" s="84"/>
      <c r="F323" s="122" t="str">
        <f t="shared" si="30"/>
        <v/>
      </c>
      <c r="G323" s="117"/>
      <c r="H323" s="117"/>
      <c r="I323" s="117"/>
      <c r="J323" s="84"/>
      <c r="L323" s="75" t="str">
        <f t="shared" ref="L323:L386" si="31">LEFT(E323,2)</f>
        <v/>
      </c>
      <c r="M323" s="75" t="str">
        <f t="shared" ref="M323:M386" si="32">LEFT(E323,3)</f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8"/>
        <v/>
      </c>
      <c r="D324" s="72" t="str">
        <f t="shared" si="29"/>
        <v/>
      </c>
      <c r="E324" s="84"/>
      <c r="F324" s="122" t="str">
        <f t="shared" si="30"/>
        <v/>
      </c>
      <c r="G324" s="117"/>
      <c r="H324" s="117"/>
      <c r="I324" s="117"/>
      <c r="J324" s="84"/>
      <c r="L324" s="75" t="str">
        <f t="shared" si="31"/>
        <v/>
      </c>
      <c r="M324" s="75" t="str">
        <f t="shared" si="32"/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8"/>
        <v/>
      </c>
      <c r="D325" s="72" t="str">
        <f t="shared" si="29"/>
        <v/>
      </c>
      <c r="E325" s="84"/>
      <c r="F325" s="122" t="str">
        <f t="shared" si="30"/>
        <v/>
      </c>
      <c r="G325" s="117"/>
      <c r="H325" s="117"/>
      <c r="I325" s="117"/>
      <c r="J325" s="84"/>
      <c r="L325" s="75" t="str">
        <f t="shared" si="31"/>
        <v/>
      </c>
      <c r="M325" s="75" t="str">
        <f t="shared" si="32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8"/>
        <v/>
      </c>
      <c r="D326" s="72" t="str">
        <f t="shared" si="29"/>
        <v/>
      </c>
      <c r="E326" s="84"/>
      <c r="F326" s="122" t="str">
        <f t="shared" si="30"/>
        <v/>
      </c>
      <c r="G326" s="117"/>
      <c r="H326" s="117"/>
      <c r="I326" s="117"/>
      <c r="J326" s="84"/>
      <c r="L326" s="75" t="str">
        <f t="shared" si="31"/>
        <v/>
      </c>
      <c r="M326" s="75" t="str">
        <f t="shared" si="32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8"/>
        <v/>
      </c>
      <c r="D327" s="72" t="str">
        <f t="shared" si="29"/>
        <v/>
      </c>
      <c r="E327" s="84"/>
      <c r="F327" s="122" t="str">
        <f t="shared" si="30"/>
        <v/>
      </c>
      <c r="G327" s="117"/>
      <c r="H327" s="117"/>
      <c r="I327" s="117"/>
      <c r="J327" s="84"/>
      <c r="L327" s="75" t="str">
        <f t="shared" si="31"/>
        <v/>
      </c>
      <c r="M327" s="75" t="str">
        <f t="shared" si="32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8"/>
        <v/>
      </c>
      <c r="D328" s="72" t="str">
        <f t="shared" si="29"/>
        <v/>
      </c>
      <c r="E328" s="84"/>
      <c r="F328" s="122" t="str">
        <f t="shared" si="30"/>
        <v/>
      </c>
      <c r="G328" s="117"/>
      <c r="H328" s="117"/>
      <c r="I328" s="117"/>
      <c r="J328" s="84"/>
      <c r="L328" s="75" t="str">
        <f t="shared" si="31"/>
        <v/>
      </c>
      <c r="M328" s="75" t="str">
        <f t="shared" si="32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8"/>
        <v/>
      </c>
      <c r="D329" s="72" t="str">
        <f t="shared" si="29"/>
        <v/>
      </c>
      <c r="E329" s="84"/>
      <c r="F329" s="122" t="str">
        <f t="shared" si="30"/>
        <v/>
      </c>
      <c r="G329" s="117"/>
      <c r="H329" s="117"/>
      <c r="I329" s="117"/>
      <c r="J329" s="84"/>
      <c r="L329" s="75" t="str">
        <f t="shared" si="31"/>
        <v/>
      </c>
      <c r="M329" s="75" t="str">
        <f t="shared" si="32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8"/>
        <v/>
      </c>
      <c r="D330" s="72" t="str">
        <f t="shared" si="29"/>
        <v/>
      </c>
      <c r="E330" s="84"/>
      <c r="F330" s="122" t="str">
        <f t="shared" si="30"/>
        <v/>
      </c>
      <c r="G330" s="117"/>
      <c r="H330" s="117"/>
      <c r="I330" s="117"/>
      <c r="J330" s="84"/>
      <c r="L330" s="75" t="str">
        <f t="shared" si="31"/>
        <v/>
      </c>
      <c r="M330" s="75" t="str">
        <f t="shared" si="32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8"/>
        <v/>
      </c>
      <c r="D331" s="72" t="str">
        <f t="shared" si="29"/>
        <v/>
      </c>
      <c r="E331" s="84"/>
      <c r="F331" s="122" t="str">
        <f t="shared" si="30"/>
        <v/>
      </c>
      <c r="G331" s="117"/>
      <c r="H331" s="117"/>
      <c r="I331" s="117"/>
      <c r="J331" s="84"/>
      <c r="L331" s="75" t="str">
        <f t="shared" si="31"/>
        <v/>
      </c>
      <c r="M331" s="75" t="str">
        <f t="shared" si="32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8"/>
        <v/>
      </c>
      <c r="D332" s="72" t="str">
        <f t="shared" si="29"/>
        <v/>
      </c>
      <c r="E332" s="84"/>
      <c r="F332" s="122" t="str">
        <f t="shared" si="30"/>
        <v/>
      </c>
      <c r="G332" s="117"/>
      <c r="H332" s="117"/>
      <c r="I332" s="117"/>
      <c r="J332" s="84"/>
      <c r="L332" s="75" t="str">
        <f t="shared" si="31"/>
        <v/>
      </c>
      <c r="M332" s="75" t="str">
        <f t="shared" si="32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8"/>
        <v/>
      </c>
      <c r="D333" s="72" t="str">
        <f t="shared" si="29"/>
        <v/>
      </c>
      <c r="E333" s="84"/>
      <c r="F333" s="122" t="str">
        <f t="shared" si="30"/>
        <v/>
      </c>
      <c r="G333" s="117"/>
      <c r="H333" s="117"/>
      <c r="I333" s="117"/>
      <c r="J333" s="84"/>
      <c r="L333" s="75" t="str">
        <f t="shared" si="31"/>
        <v/>
      </c>
      <c r="M333" s="75" t="str">
        <f t="shared" si="32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8"/>
        <v/>
      </c>
      <c r="D334" s="72" t="str">
        <f t="shared" si="29"/>
        <v/>
      </c>
      <c r="E334" s="84"/>
      <c r="F334" s="122" t="str">
        <f t="shared" si="30"/>
        <v/>
      </c>
      <c r="G334" s="117"/>
      <c r="H334" s="117"/>
      <c r="I334" s="117"/>
      <c r="J334" s="84"/>
      <c r="L334" s="75" t="str">
        <f t="shared" si="31"/>
        <v/>
      </c>
      <c r="M334" s="75" t="str">
        <f t="shared" si="32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8"/>
        <v/>
      </c>
      <c r="D335" s="72" t="str">
        <f t="shared" si="29"/>
        <v/>
      </c>
      <c r="E335" s="84"/>
      <c r="F335" s="122" t="str">
        <f t="shared" si="30"/>
        <v/>
      </c>
      <c r="G335" s="117"/>
      <c r="H335" s="117"/>
      <c r="I335" s="117"/>
      <c r="J335" s="84"/>
      <c r="L335" s="75" t="str">
        <f t="shared" si="31"/>
        <v/>
      </c>
      <c r="M335" s="75" t="str">
        <f t="shared" si="32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8"/>
        <v/>
      </c>
      <c r="D336" s="72" t="str">
        <f t="shared" si="29"/>
        <v/>
      </c>
      <c r="E336" s="84"/>
      <c r="F336" s="122" t="str">
        <f t="shared" si="30"/>
        <v/>
      </c>
      <c r="G336" s="117"/>
      <c r="H336" s="117"/>
      <c r="I336" s="117"/>
      <c r="J336" s="84"/>
      <c r="L336" s="75" t="str">
        <f t="shared" si="31"/>
        <v/>
      </c>
      <c r="M336" s="75" t="str">
        <f t="shared" si="32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8"/>
        <v/>
      </c>
      <c r="D337" s="72" t="str">
        <f t="shared" si="29"/>
        <v/>
      </c>
      <c r="E337" s="84"/>
      <c r="F337" s="122" t="str">
        <f t="shared" si="30"/>
        <v/>
      </c>
      <c r="G337" s="117"/>
      <c r="H337" s="117"/>
      <c r="I337" s="117"/>
      <c r="J337" s="84"/>
      <c r="L337" s="75" t="str">
        <f t="shared" si="31"/>
        <v/>
      </c>
      <c r="M337" s="75" t="str">
        <f t="shared" si="32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8"/>
        <v/>
      </c>
      <c r="D338" s="72" t="str">
        <f t="shared" si="29"/>
        <v/>
      </c>
      <c r="E338" s="84"/>
      <c r="F338" s="122" t="str">
        <f t="shared" si="30"/>
        <v/>
      </c>
      <c r="G338" s="117"/>
      <c r="H338" s="117"/>
      <c r="I338" s="117"/>
      <c r="J338" s="84"/>
      <c r="L338" s="75" t="str">
        <f t="shared" si="31"/>
        <v/>
      </c>
      <c r="M338" s="75" t="str">
        <f t="shared" si="32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8"/>
        <v/>
      </c>
      <c r="D339" s="72" t="str">
        <f t="shared" si="29"/>
        <v/>
      </c>
      <c r="E339" s="84"/>
      <c r="F339" s="122" t="str">
        <f t="shared" si="30"/>
        <v/>
      </c>
      <c r="G339" s="117"/>
      <c r="H339" s="117"/>
      <c r="I339" s="117"/>
      <c r="J339" s="84"/>
      <c r="L339" s="75" t="str">
        <f t="shared" si="31"/>
        <v/>
      </c>
      <c r="M339" s="75" t="str">
        <f t="shared" si="32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8"/>
        <v/>
      </c>
      <c r="D340" s="72" t="str">
        <f t="shared" si="29"/>
        <v/>
      </c>
      <c r="E340" s="84"/>
      <c r="F340" s="122" t="str">
        <f t="shared" si="30"/>
        <v/>
      </c>
      <c r="G340" s="117"/>
      <c r="H340" s="117"/>
      <c r="I340" s="117"/>
      <c r="J340" s="84"/>
      <c r="L340" s="75" t="str">
        <f t="shared" si="31"/>
        <v/>
      </c>
      <c r="M340" s="75" t="str">
        <f t="shared" si="32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8"/>
        <v/>
      </c>
      <c r="D341" s="72" t="str">
        <f t="shared" si="29"/>
        <v/>
      </c>
      <c r="E341" s="84"/>
      <c r="F341" s="122" t="str">
        <f t="shared" si="30"/>
        <v/>
      </c>
      <c r="G341" s="117"/>
      <c r="H341" s="117"/>
      <c r="I341" s="117"/>
      <c r="J341" s="84"/>
      <c r="L341" s="75" t="str">
        <f t="shared" si="31"/>
        <v/>
      </c>
      <c r="M341" s="75" t="str">
        <f t="shared" si="32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8"/>
        <v/>
      </c>
      <c r="D342" s="72" t="str">
        <f t="shared" si="29"/>
        <v/>
      </c>
      <c r="E342" s="84"/>
      <c r="F342" s="122" t="str">
        <f t="shared" si="30"/>
        <v/>
      </c>
      <c r="G342" s="117"/>
      <c r="H342" s="117"/>
      <c r="I342" s="117"/>
      <c r="J342" s="84"/>
      <c r="L342" s="75" t="str">
        <f t="shared" si="31"/>
        <v/>
      </c>
      <c r="M342" s="75" t="str">
        <f t="shared" si="32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8"/>
        <v/>
      </c>
      <c r="D343" s="72" t="str">
        <f t="shared" si="29"/>
        <v/>
      </c>
      <c r="E343" s="84"/>
      <c r="F343" s="122" t="str">
        <f t="shared" si="30"/>
        <v/>
      </c>
      <c r="G343" s="117"/>
      <c r="H343" s="117"/>
      <c r="I343" s="117"/>
      <c r="J343" s="84"/>
      <c r="L343" s="75" t="str">
        <f t="shared" si="31"/>
        <v/>
      </c>
      <c r="M343" s="75" t="str">
        <f t="shared" si="32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8"/>
        <v/>
      </c>
      <c r="D344" s="72" t="str">
        <f t="shared" si="29"/>
        <v/>
      </c>
      <c r="E344" s="84"/>
      <c r="F344" s="122" t="str">
        <f t="shared" si="30"/>
        <v/>
      </c>
      <c r="G344" s="117"/>
      <c r="H344" s="117"/>
      <c r="I344" s="117"/>
      <c r="J344" s="84"/>
      <c r="L344" s="75" t="str">
        <f t="shared" si="31"/>
        <v/>
      </c>
      <c r="M344" s="75" t="str">
        <f t="shared" si="32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8"/>
        <v/>
      </c>
      <c r="D345" s="72" t="str">
        <f t="shared" si="29"/>
        <v/>
      </c>
      <c r="E345" s="84"/>
      <c r="F345" s="122" t="str">
        <f t="shared" si="30"/>
        <v/>
      </c>
      <c r="G345" s="117"/>
      <c r="H345" s="117"/>
      <c r="I345" s="117"/>
      <c r="J345" s="84"/>
      <c r="L345" s="75" t="str">
        <f t="shared" si="31"/>
        <v/>
      </c>
      <c r="M345" s="75" t="str">
        <f t="shared" si="32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8"/>
        <v/>
      </c>
      <c r="D346" s="72" t="str">
        <f t="shared" si="29"/>
        <v/>
      </c>
      <c r="E346" s="84"/>
      <c r="F346" s="122" t="str">
        <f t="shared" si="30"/>
        <v/>
      </c>
      <c r="G346" s="117"/>
      <c r="H346" s="117"/>
      <c r="I346" s="117"/>
      <c r="J346" s="84"/>
      <c r="L346" s="75" t="str">
        <f t="shared" si="31"/>
        <v/>
      </c>
      <c r="M346" s="75" t="str">
        <f t="shared" si="32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8"/>
        <v/>
      </c>
      <c r="D347" s="72" t="str">
        <f t="shared" si="29"/>
        <v/>
      </c>
      <c r="E347" s="84"/>
      <c r="F347" s="122" t="str">
        <f t="shared" si="30"/>
        <v/>
      </c>
      <c r="G347" s="117"/>
      <c r="H347" s="117"/>
      <c r="I347" s="117"/>
      <c r="J347" s="84"/>
      <c r="L347" s="75" t="str">
        <f t="shared" si="31"/>
        <v/>
      </c>
      <c r="M347" s="75" t="str">
        <f t="shared" si="32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8"/>
        <v/>
      </c>
      <c r="D348" s="72" t="str">
        <f t="shared" si="29"/>
        <v/>
      </c>
      <c r="E348" s="84"/>
      <c r="F348" s="122" t="str">
        <f t="shared" si="30"/>
        <v/>
      </c>
      <c r="G348" s="117"/>
      <c r="H348" s="117"/>
      <c r="I348" s="117"/>
      <c r="J348" s="84"/>
      <c r="L348" s="75" t="str">
        <f t="shared" si="31"/>
        <v/>
      </c>
      <c r="M348" s="75" t="str">
        <f t="shared" si="32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8"/>
        <v/>
      </c>
      <c r="D349" s="72" t="str">
        <f t="shared" si="29"/>
        <v/>
      </c>
      <c r="E349" s="84"/>
      <c r="F349" s="122" t="str">
        <f t="shared" si="30"/>
        <v/>
      </c>
      <c r="G349" s="117"/>
      <c r="H349" s="117"/>
      <c r="I349" s="117"/>
      <c r="J349" s="84"/>
      <c r="L349" s="75" t="str">
        <f t="shared" si="31"/>
        <v/>
      </c>
      <c r="M349" s="75" t="str">
        <f t="shared" si="32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8"/>
        <v/>
      </c>
      <c r="D350" s="72" t="str">
        <f t="shared" si="29"/>
        <v/>
      </c>
      <c r="E350" s="84"/>
      <c r="F350" s="122" t="str">
        <f t="shared" si="30"/>
        <v/>
      </c>
      <c r="G350" s="117"/>
      <c r="H350" s="117"/>
      <c r="I350" s="117"/>
      <c r="J350" s="84"/>
      <c r="L350" s="75" t="str">
        <f t="shared" si="31"/>
        <v/>
      </c>
      <c r="M350" s="75" t="str">
        <f t="shared" si="32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8"/>
        <v/>
      </c>
      <c r="D351" s="72" t="str">
        <f t="shared" si="29"/>
        <v/>
      </c>
      <c r="E351" s="84"/>
      <c r="F351" s="122" t="str">
        <f t="shared" si="30"/>
        <v/>
      </c>
      <c r="G351" s="117"/>
      <c r="H351" s="117"/>
      <c r="I351" s="117"/>
      <c r="J351" s="84"/>
      <c r="L351" s="75" t="str">
        <f t="shared" si="31"/>
        <v/>
      </c>
      <c r="M351" s="75" t="str">
        <f t="shared" si="32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8"/>
        <v/>
      </c>
      <c r="D352" s="72" t="str">
        <f t="shared" si="29"/>
        <v/>
      </c>
      <c r="E352" s="84"/>
      <c r="F352" s="122" t="str">
        <f t="shared" si="30"/>
        <v/>
      </c>
      <c r="G352" s="117"/>
      <c r="H352" s="117"/>
      <c r="I352" s="117"/>
      <c r="J352" s="84"/>
      <c r="L352" s="75" t="str">
        <f t="shared" si="31"/>
        <v/>
      </c>
      <c r="M352" s="75" t="str">
        <f t="shared" si="32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8"/>
        <v/>
      </c>
      <c r="D353" s="72" t="str">
        <f t="shared" si="29"/>
        <v/>
      </c>
      <c r="E353" s="84"/>
      <c r="F353" s="122" t="str">
        <f t="shared" si="30"/>
        <v/>
      </c>
      <c r="G353" s="117"/>
      <c r="H353" s="117"/>
      <c r="I353" s="117"/>
      <c r="J353" s="84"/>
      <c r="L353" s="75" t="str">
        <f t="shared" si="31"/>
        <v/>
      </c>
      <c r="M353" s="75" t="str">
        <f t="shared" si="32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8"/>
        <v/>
      </c>
      <c r="D354" s="72" t="str">
        <f t="shared" si="29"/>
        <v/>
      </c>
      <c r="E354" s="84"/>
      <c r="F354" s="122" t="str">
        <f t="shared" si="30"/>
        <v/>
      </c>
      <c r="G354" s="117"/>
      <c r="H354" s="117"/>
      <c r="I354" s="117"/>
      <c r="J354" s="84"/>
      <c r="L354" s="75" t="str">
        <f t="shared" si="31"/>
        <v/>
      </c>
      <c r="M354" s="75" t="str">
        <f t="shared" si="32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8"/>
        <v/>
      </c>
      <c r="D355" s="72" t="str">
        <f t="shared" si="29"/>
        <v/>
      </c>
      <c r="E355" s="84"/>
      <c r="F355" s="122" t="str">
        <f t="shared" si="30"/>
        <v/>
      </c>
      <c r="G355" s="117"/>
      <c r="H355" s="117"/>
      <c r="I355" s="117"/>
      <c r="J355" s="84"/>
      <c r="L355" s="75" t="str">
        <f t="shared" si="31"/>
        <v/>
      </c>
      <c r="M355" s="75" t="str">
        <f t="shared" si="32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8"/>
        <v/>
      </c>
      <c r="D356" s="72" t="str">
        <f t="shared" si="29"/>
        <v/>
      </c>
      <c r="E356" s="84"/>
      <c r="F356" s="122" t="str">
        <f t="shared" si="30"/>
        <v/>
      </c>
      <c r="G356" s="117"/>
      <c r="H356" s="117"/>
      <c r="I356" s="117"/>
      <c r="J356" s="84"/>
      <c r="L356" s="75" t="str">
        <f t="shared" si="31"/>
        <v/>
      </c>
      <c r="M356" s="75" t="str">
        <f t="shared" si="32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8"/>
        <v/>
      </c>
      <c r="D357" s="72" t="str">
        <f t="shared" si="29"/>
        <v/>
      </c>
      <c r="E357" s="84"/>
      <c r="F357" s="122" t="str">
        <f t="shared" si="30"/>
        <v/>
      </c>
      <c r="G357" s="117"/>
      <c r="H357" s="117"/>
      <c r="I357" s="117"/>
      <c r="J357" s="84"/>
      <c r="L357" s="75" t="str">
        <f t="shared" si="31"/>
        <v/>
      </c>
      <c r="M357" s="75" t="str">
        <f t="shared" si="32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8"/>
        <v/>
      </c>
      <c r="D358" s="72" t="str">
        <f t="shared" si="29"/>
        <v/>
      </c>
      <c r="E358" s="84"/>
      <c r="F358" s="122" t="str">
        <f t="shared" si="30"/>
        <v/>
      </c>
      <c r="G358" s="117"/>
      <c r="H358" s="117"/>
      <c r="I358" s="117"/>
      <c r="J358" s="84"/>
      <c r="L358" s="75" t="str">
        <f t="shared" si="31"/>
        <v/>
      </c>
      <c r="M358" s="75" t="str">
        <f t="shared" si="32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8"/>
        <v/>
      </c>
      <c r="D359" s="72" t="str">
        <f t="shared" si="29"/>
        <v/>
      </c>
      <c r="E359" s="84"/>
      <c r="F359" s="122" t="str">
        <f t="shared" si="30"/>
        <v/>
      </c>
      <c r="G359" s="117"/>
      <c r="H359" s="117"/>
      <c r="I359" s="117"/>
      <c r="J359" s="84"/>
      <c r="L359" s="75" t="str">
        <f t="shared" si="31"/>
        <v/>
      </c>
      <c r="M359" s="75" t="str">
        <f t="shared" si="32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8"/>
        <v/>
      </c>
      <c r="D360" s="72" t="str">
        <f t="shared" si="29"/>
        <v/>
      </c>
      <c r="E360" s="84"/>
      <c r="F360" s="122" t="str">
        <f t="shared" si="30"/>
        <v/>
      </c>
      <c r="G360" s="117"/>
      <c r="H360" s="117"/>
      <c r="I360" s="117"/>
      <c r="J360" s="84"/>
      <c r="L360" s="75" t="str">
        <f t="shared" si="31"/>
        <v/>
      </c>
      <c r="M360" s="75" t="str">
        <f t="shared" si="32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8"/>
        <v/>
      </c>
      <c r="D361" s="72" t="str">
        <f t="shared" si="29"/>
        <v/>
      </c>
      <c r="E361" s="84"/>
      <c r="F361" s="122" t="str">
        <f t="shared" si="30"/>
        <v/>
      </c>
      <c r="G361" s="117"/>
      <c r="H361" s="117"/>
      <c r="I361" s="117"/>
      <c r="J361" s="84"/>
      <c r="L361" s="75" t="str">
        <f t="shared" si="31"/>
        <v/>
      </c>
      <c r="M361" s="75" t="str">
        <f t="shared" si="32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8"/>
        <v/>
      </c>
      <c r="D362" s="72" t="str">
        <f t="shared" si="29"/>
        <v/>
      </c>
      <c r="E362" s="84"/>
      <c r="F362" s="122" t="str">
        <f t="shared" si="30"/>
        <v/>
      </c>
      <c r="G362" s="117"/>
      <c r="H362" s="117"/>
      <c r="I362" s="117"/>
      <c r="J362" s="84"/>
      <c r="L362" s="75" t="str">
        <f t="shared" si="31"/>
        <v/>
      </c>
      <c r="M362" s="75" t="str">
        <f t="shared" si="32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8"/>
        <v/>
      </c>
      <c r="D363" s="72" t="str">
        <f t="shared" si="29"/>
        <v/>
      </c>
      <c r="E363" s="84"/>
      <c r="F363" s="122" t="str">
        <f t="shared" si="30"/>
        <v/>
      </c>
      <c r="G363" s="117"/>
      <c r="H363" s="117"/>
      <c r="I363" s="117"/>
      <c r="J363" s="84"/>
      <c r="L363" s="75" t="str">
        <f t="shared" si="31"/>
        <v/>
      </c>
      <c r="M363" s="75" t="str">
        <f t="shared" si="32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8"/>
        <v/>
      </c>
      <c r="D364" s="72" t="str">
        <f t="shared" si="29"/>
        <v/>
      </c>
      <c r="E364" s="84"/>
      <c r="F364" s="122" t="str">
        <f t="shared" si="30"/>
        <v/>
      </c>
      <c r="G364" s="117"/>
      <c r="H364" s="117"/>
      <c r="I364" s="117"/>
      <c r="J364" s="84"/>
      <c r="L364" s="75" t="str">
        <f t="shared" si="31"/>
        <v/>
      </c>
      <c r="M364" s="75" t="str">
        <f t="shared" si="32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8"/>
        <v/>
      </c>
      <c r="D365" s="72" t="str">
        <f t="shared" si="29"/>
        <v/>
      </c>
      <c r="E365" s="84"/>
      <c r="F365" s="122" t="str">
        <f t="shared" si="30"/>
        <v/>
      </c>
      <c r="G365" s="117"/>
      <c r="H365" s="117"/>
      <c r="I365" s="117"/>
      <c r="J365" s="84"/>
      <c r="L365" s="75" t="str">
        <f t="shared" si="31"/>
        <v/>
      </c>
      <c r="M365" s="75" t="str">
        <f t="shared" si="32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8"/>
        <v/>
      </c>
      <c r="D366" s="72" t="str">
        <f t="shared" si="29"/>
        <v/>
      </c>
      <c r="E366" s="84"/>
      <c r="F366" s="122" t="str">
        <f t="shared" si="30"/>
        <v/>
      </c>
      <c r="G366" s="117"/>
      <c r="H366" s="117"/>
      <c r="I366" s="117"/>
      <c r="J366" s="84"/>
      <c r="L366" s="75" t="str">
        <f t="shared" si="31"/>
        <v/>
      </c>
      <c r="M366" s="75" t="str">
        <f t="shared" si="32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8"/>
        <v/>
      </c>
      <c r="D367" s="72" t="str">
        <f t="shared" si="29"/>
        <v/>
      </c>
      <c r="E367" s="84"/>
      <c r="F367" s="122" t="str">
        <f t="shared" si="30"/>
        <v/>
      </c>
      <c r="G367" s="117"/>
      <c r="H367" s="117"/>
      <c r="I367" s="117"/>
      <c r="J367" s="84"/>
      <c r="L367" s="75" t="str">
        <f t="shared" si="31"/>
        <v/>
      </c>
      <c r="M367" s="75" t="str">
        <f t="shared" si="32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8"/>
        <v/>
      </c>
      <c r="D368" s="72" t="str">
        <f t="shared" si="29"/>
        <v/>
      </c>
      <c r="E368" s="84"/>
      <c r="F368" s="122" t="str">
        <f t="shared" si="30"/>
        <v/>
      </c>
      <c r="G368" s="117"/>
      <c r="H368" s="117"/>
      <c r="I368" s="117"/>
      <c r="J368" s="84"/>
      <c r="L368" s="75" t="str">
        <f t="shared" si="31"/>
        <v/>
      </c>
      <c r="M368" s="75" t="str">
        <f t="shared" si="32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8"/>
        <v/>
      </c>
      <c r="D369" s="72" t="str">
        <f t="shared" si="29"/>
        <v/>
      </c>
      <c r="E369" s="84"/>
      <c r="F369" s="122" t="str">
        <f t="shared" si="30"/>
        <v/>
      </c>
      <c r="G369" s="117"/>
      <c r="H369" s="117"/>
      <c r="I369" s="117"/>
      <c r="J369" s="84"/>
      <c r="L369" s="75" t="str">
        <f t="shared" si="31"/>
        <v/>
      </c>
      <c r="M369" s="75" t="str">
        <f t="shared" si="32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8"/>
        <v/>
      </c>
      <c r="D370" s="72" t="str">
        <f t="shared" si="29"/>
        <v/>
      </c>
      <c r="E370" s="84"/>
      <c r="F370" s="122" t="str">
        <f t="shared" si="30"/>
        <v/>
      </c>
      <c r="G370" s="117"/>
      <c r="H370" s="117"/>
      <c r="I370" s="117"/>
      <c r="J370" s="84"/>
      <c r="L370" s="75" t="str">
        <f t="shared" si="31"/>
        <v/>
      </c>
      <c r="M370" s="75" t="str">
        <f t="shared" si="32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8"/>
        <v/>
      </c>
      <c r="D371" s="72" t="str">
        <f t="shared" si="29"/>
        <v/>
      </c>
      <c r="E371" s="84"/>
      <c r="F371" s="122" t="str">
        <f t="shared" si="30"/>
        <v/>
      </c>
      <c r="G371" s="117"/>
      <c r="H371" s="117"/>
      <c r="I371" s="117"/>
      <c r="J371" s="84"/>
      <c r="L371" s="75" t="str">
        <f t="shared" si="31"/>
        <v/>
      </c>
      <c r="M371" s="75" t="str">
        <f t="shared" si="32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8"/>
        <v/>
      </c>
      <c r="D372" s="72" t="str">
        <f t="shared" si="29"/>
        <v/>
      </c>
      <c r="E372" s="84"/>
      <c r="F372" s="122" t="str">
        <f t="shared" si="30"/>
        <v/>
      </c>
      <c r="G372" s="117"/>
      <c r="H372" s="117"/>
      <c r="I372" s="117"/>
      <c r="J372" s="84"/>
      <c r="L372" s="75" t="str">
        <f t="shared" si="31"/>
        <v/>
      </c>
      <c r="M372" s="75" t="str">
        <f t="shared" si="32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8"/>
        <v/>
      </c>
      <c r="D373" s="72" t="str">
        <f t="shared" si="29"/>
        <v/>
      </c>
      <c r="E373" s="84"/>
      <c r="F373" s="122" t="str">
        <f t="shared" si="30"/>
        <v/>
      </c>
      <c r="G373" s="117"/>
      <c r="H373" s="117"/>
      <c r="I373" s="117"/>
      <c r="J373" s="84"/>
      <c r="L373" s="75" t="str">
        <f t="shared" si="31"/>
        <v/>
      </c>
      <c r="M373" s="75" t="str">
        <f t="shared" si="32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8"/>
        <v/>
      </c>
      <c r="D374" s="72" t="str">
        <f t="shared" si="29"/>
        <v/>
      </c>
      <c r="E374" s="84"/>
      <c r="F374" s="122" t="str">
        <f t="shared" si="30"/>
        <v/>
      </c>
      <c r="G374" s="117"/>
      <c r="H374" s="117"/>
      <c r="I374" s="117"/>
      <c r="J374" s="84"/>
      <c r="L374" s="75" t="str">
        <f t="shared" si="31"/>
        <v/>
      </c>
      <c r="M374" s="75" t="str">
        <f t="shared" si="32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8"/>
        <v/>
      </c>
      <c r="D375" s="72" t="str">
        <f t="shared" si="29"/>
        <v/>
      </c>
      <c r="E375" s="84"/>
      <c r="F375" s="122" t="str">
        <f t="shared" si="30"/>
        <v/>
      </c>
      <c r="G375" s="117"/>
      <c r="H375" s="117"/>
      <c r="I375" s="117"/>
      <c r="J375" s="84"/>
      <c r="L375" s="75" t="str">
        <f t="shared" si="31"/>
        <v/>
      </c>
      <c r="M375" s="75" t="str">
        <f t="shared" si="32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8"/>
        <v/>
      </c>
      <c r="D376" s="72" t="str">
        <f t="shared" si="29"/>
        <v/>
      </c>
      <c r="E376" s="84"/>
      <c r="F376" s="122" t="str">
        <f t="shared" si="30"/>
        <v/>
      </c>
      <c r="G376" s="117"/>
      <c r="H376" s="117"/>
      <c r="I376" s="117"/>
      <c r="J376" s="84"/>
      <c r="L376" s="75" t="str">
        <f t="shared" si="31"/>
        <v/>
      </c>
      <c r="M376" s="75" t="str">
        <f t="shared" si="32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8"/>
        <v/>
      </c>
      <c r="D377" s="72" t="str">
        <f t="shared" si="29"/>
        <v/>
      </c>
      <c r="E377" s="84"/>
      <c r="F377" s="122" t="str">
        <f t="shared" si="30"/>
        <v/>
      </c>
      <c r="G377" s="117"/>
      <c r="H377" s="117"/>
      <c r="I377" s="117"/>
      <c r="J377" s="84"/>
      <c r="L377" s="75" t="str">
        <f t="shared" si="31"/>
        <v/>
      </c>
      <c r="M377" s="75" t="str">
        <f t="shared" si="32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8"/>
        <v/>
      </c>
      <c r="D378" s="72" t="str">
        <f t="shared" si="29"/>
        <v/>
      </c>
      <c r="E378" s="84"/>
      <c r="F378" s="122" t="str">
        <f t="shared" si="30"/>
        <v/>
      </c>
      <c r="G378" s="117"/>
      <c r="H378" s="117"/>
      <c r="I378" s="117"/>
      <c r="J378" s="84"/>
      <c r="L378" s="75" t="str">
        <f t="shared" si="31"/>
        <v/>
      </c>
      <c r="M378" s="75" t="str">
        <f t="shared" si="32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8"/>
        <v/>
      </c>
      <c r="D379" s="72" t="str">
        <f t="shared" si="29"/>
        <v/>
      </c>
      <c r="E379" s="84"/>
      <c r="F379" s="122" t="str">
        <f t="shared" si="30"/>
        <v/>
      </c>
      <c r="G379" s="117"/>
      <c r="H379" s="117"/>
      <c r="I379" s="117"/>
      <c r="J379" s="84"/>
      <c r="L379" s="75" t="str">
        <f t="shared" si="31"/>
        <v/>
      </c>
      <c r="M379" s="75" t="str">
        <f t="shared" si="32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8"/>
        <v/>
      </c>
      <c r="D380" s="72" t="str">
        <f t="shared" si="29"/>
        <v/>
      </c>
      <c r="E380" s="84"/>
      <c r="F380" s="122" t="str">
        <f t="shared" si="30"/>
        <v/>
      </c>
      <c r="G380" s="117"/>
      <c r="H380" s="117"/>
      <c r="I380" s="117"/>
      <c r="J380" s="84"/>
      <c r="L380" s="75" t="str">
        <f t="shared" si="31"/>
        <v/>
      </c>
      <c r="M380" s="75" t="str">
        <f t="shared" si="32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8"/>
        <v/>
      </c>
      <c r="D381" s="72" t="str">
        <f t="shared" si="29"/>
        <v/>
      </c>
      <c r="E381" s="84"/>
      <c r="F381" s="122" t="str">
        <f t="shared" si="30"/>
        <v/>
      </c>
      <c r="G381" s="117"/>
      <c r="H381" s="117"/>
      <c r="I381" s="117"/>
      <c r="J381" s="84"/>
      <c r="L381" s="75" t="str">
        <f t="shared" si="31"/>
        <v/>
      </c>
      <c r="M381" s="75" t="str">
        <f t="shared" si="32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8"/>
        <v/>
      </c>
      <c r="D382" s="72" t="str">
        <f t="shared" si="29"/>
        <v/>
      </c>
      <c r="E382" s="84"/>
      <c r="F382" s="122" t="str">
        <f t="shared" si="30"/>
        <v/>
      </c>
      <c r="G382" s="117"/>
      <c r="H382" s="117"/>
      <c r="I382" s="117"/>
      <c r="J382" s="84"/>
      <c r="L382" s="75" t="str">
        <f t="shared" si="31"/>
        <v/>
      </c>
      <c r="M382" s="75" t="str">
        <f t="shared" si="32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8"/>
        <v/>
      </c>
      <c r="D383" s="72" t="str">
        <f t="shared" si="29"/>
        <v/>
      </c>
      <c r="E383" s="84"/>
      <c r="F383" s="122" t="str">
        <f t="shared" si="30"/>
        <v/>
      </c>
      <c r="G383" s="117"/>
      <c r="H383" s="117"/>
      <c r="I383" s="117"/>
      <c r="J383" s="84"/>
      <c r="L383" s="75" t="str">
        <f t="shared" si="31"/>
        <v/>
      </c>
      <c r="M383" s="75" t="str">
        <f t="shared" si="32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8"/>
        <v/>
      </c>
      <c r="D384" s="72" t="str">
        <f t="shared" si="29"/>
        <v/>
      </c>
      <c r="E384" s="84"/>
      <c r="F384" s="122" t="str">
        <f t="shared" si="30"/>
        <v/>
      </c>
      <c r="G384" s="117"/>
      <c r="H384" s="117"/>
      <c r="I384" s="117"/>
      <c r="J384" s="84"/>
      <c r="L384" s="75" t="str">
        <f t="shared" si="31"/>
        <v/>
      </c>
      <c r="M384" s="75" t="str">
        <f t="shared" si="32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8"/>
        <v/>
      </c>
      <c r="D385" s="72" t="str">
        <f t="shared" si="29"/>
        <v/>
      </c>
      <c r="E385" s="84"/>
      <c r="F385" s="122" t="str">
        <f t="shared" si="30"/>
        <v/>
      </c>
      <c r="G385" s="117"/>
      <c r="H385" s="117"/>
      <c r="I385" s="117"/>
      <c r="J385" s="84"/>
      <c r="L385" s="75" t="str">
        <f t="shared" si="31"/>
        <v/>
      </c>
      <c r="M385" s="75" t="str">
        <f t="shared" si="32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ref="C386:C449" si="33">IFERROR(VLOOKUP(E386,$R$5:$U$112,3,FALSE),"")</f>
        <v/>
      </c>
      <c r="D386" s="72" t="str">
        <f t="shared" ref="D386:D449" si="34">IFERROR(VLOOKUP(E386,$R$5:$U$112,4,FALSE),"")</f>
        <v/>
      </c>
      <c r="E386" s="84"/>
      <c r="F386" s="122" t="str">
        <f t="shared" ref="F386:F449" si="35">IFERROR(VLOOKUP(E386,$R$5:$U$112,2,FALSE),"")</f>
        <v/>
      </c>
      <c r="G386" s="117"/>
      <c r="H386" s="117"/>
      <c r="I386" s="117"/>
      <c r="J386" s="84"/>
      <c r="L386" s="75" t="str">
        <f t="shared" si="31"/>
        <v/>
      </c>
      <c r="M386" s="75" t="str">
        <f t="shared" si="32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3"/>
        <v/>
      </c>
      <c r="D387" s="72" t="str">
        <f t="shared" si="34"/>
        <v/>
      </c>
      <c r="E387" s="84"/>
      <c r="F387" s="122" t="str">
        <f t="shared" si="35"/>
        <v/>
      </c>
      <c r="G387" s="117"/>
      <c r="H387" s="117"/>
      <c r="I387" s="117"/>
      <c r="J387" s="84"/>
      <c r="L387" s="75" t="str">
        <f t="shared" ref="L387:L450" si="36">LEFT(E387,2)</f>
        <v/>
      </c>
      <c r="M387" s="75" t="str">
        <f t="shared" ref="M387:M450" si="37">LEFT(E387,3)</f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3"/>
        <v/>
      </c>
      <c r="D388" s="72" t="str">
        <f t="shared" si="34"/>
        <v/>
      </c>
      <c r="E388" s="84"/>
      <c r="F388" s="122" t="str">
        <f t="shared" si="35"/>
        <v/>
      </c>
      <c r="G388" s="117"/>
      <c r="H388" s="117"/>
      <c r="I388" s="117"/>
      <c r="J388" s="84"/>
      <c r="L388" s="75" t="str">
        <f t="shared" si="36"/>
        <v/>
      </c>
      <c r="M388" s="75" t="str">
        <f t="shared" si="37"/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3"/>
        <v/>
      </c>
      <c r="D389" s="72" t="str">
        <f t="shared" si="34"/>
        <v/>
      </c>
      <c r="E389" s="84"/>
      <c r="F389" s="122" t="str">
        <f t="shared" si="35"/>
        <v/>
      </c>
      <c r="G389" s="117"/>
      <c r="H389" s="117"/>
      <c r="I389" s="117"/>
      <c r="J389" s="84"/>
      <c r="L389" s="75" t="str">
        <f t="shared" si="36"/>
        <v/>
      </c>
      <c r="M389" s="75" t="str">
        <f t="shared" si="37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3"/>
        <v/>
      </c>
      <c r="D390" s="72" t="str">
        <f t="shared" si="34"/>
        <v/>
      </c>
      <c r="E390" s="84"/>
      <c r="F390" s="122" t="str">
        <f t="shared" si="35"/>
        <v/>
      </c>
      <c r="G390" s="117"/>
      <c r="H390" s="117"/>
      <c r="I390" s="117"/>
      <c r="J390" s="84"/>
      <c r="L390" s="75" t="str">
        <f t="shared" si="36"/>
        <v/>
      </c>
      <c r="M390" s="75" t="str">
        <f t="shared" si="37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3"/>
        <v/>
      </c>
      <c r="D391" s="72" t="str">
        <f t="shared" si="34"/>
        <v/>
      </c>
      <c r="E391" s="84"/>
      <c r="F391" s="122" t="str">
        <f t="shared" si="35"/>
        <v/>
      </c>
      <c r="G391" s="117"/>
      <c r="H391" s="117"/>
      <c r="I391" s="117"/>
      <c r="J391" s="84"/>
      <c r="L391" s="75" t="str">
        <f t="shared" si="36"/>
        <v/>
      </c>
      <c r="M391" s="75" t="str">
        <f t="shared" si="37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3"/>
        <v/>
      </c>
      <c r="D392" s="72" t="str">
        <f t="shared" si="34"/>
        <v/>
      </c>
      <c r="E392" s="84"/>
      <c r="F392" s="122" t="str">
        <f t="shared" si="35"/>
        <v/>
      </c>
      <c r="G392" s="117"/>
      <c r="H392" s="117"/>
      <c r="I392" s="117"/>
      <c r="J392" s="84"/>
      <c r="L392" s="75" t="str">
        <f t="shared" si="36"/>
        <v/>
      </c>
      <c r="M392" s="75" t="str">
        <f t="shared" si="37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3"/>
        <v/>
      </c>
      <c r="D393" s="72" t="str">
        <f t="shared" si="34"/>
        <v/>
      </c>
      <c r="E393" s="84"/>
      <c r="F393" s="122" t="str">
        <f t="shared" si="35"/>
        <v/>
      </c>
      <c r="G393" s="117"/>
      <c r="H393" s="117"/>
      <c r="I393" s="117"/>
      <c r="J393" s="84"/>
      <c r="L393" s="75" t="str">
        <f t="shared" si="36"/>
        <v/>
      </c>
      <c r="M393" s="75" t="str">
        <f t="shared" si="37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3"/>
        <v/>
      </c>
      <c r="D394" s="72" t="str">
        <f t="shared" si="34"/>
        <v/>
      </c>
      <c r="E394" s="84"/>
      <c r="F394" s="122" t="str">
        <f t="shared" si="35"/>
        <v/>
      </c>
      <c r="G394" s="117"/>
      <c r="H394" s="117"/>
      <c r="I394" s="117"/>
      <c r="J394" s="84"/>
      <c r="L394" s="75" t="str">
        <f t="shared" si="36"/>
        <v/>
      </c>
      <c r="M394" s="75" t="str">
        <f t="shared" si="37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3"/>
        <v/>
      </c>
      <c r="D395" s="72" t="str">
        <f t="shared" si="34"/>
        <v/>
      </c>
      <c r="E395" s="84"/>
      <c r="F395" s="122" t="str">
        <f t="shared" si="35"/>
        <v/>
      </c>
      <c r="G395" s="117"/>
      <c r="H395" s="117"/>
      <c r="I395" s="117"/>
      <c r="J395" s="84"/>
      <c r="L395" s="75" t="str">
        <f t="shared" si="36"/>
        <v/>
      </c>
      <c r="M395" s="75" t="str">
        <f t="shared" si="37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3"/>
        <v/>
      </c>
      <c r="D396" s="72" t="str">
        <f t="shared" si="34"/>
        <v/>
      </c>
      <c r="E396" s="84"/>
      <c r="F396" s="122" t="str">
        <f t="shared" si="35"/>
        <v/>
      </c>
      <c r="G396" s="117"/>
      <c r="H396" s="117"/>
      <c r="I396" s="117"/>
      <c r="J396" s="84"/>
      <c r="L396" s="75" t="str">
        <f t="shared" si="36"/>
        <v/>
      </c>
      <c r="M396" s="75" t="str">
        <f t="shared" si="37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3"/>
        <v/>
      </c>
      <c r="D397" s="72" t="str">
        <f t="shared" si="34"/>
        <v/>
      </c>
      <c r="E397" s="84"/>
      <c r="F397" s="122" t="str">
        <f t="shared" si="35"/>
        <v/>
      </c>
      <c r="G397" s="117"/>
      <c r="H397" s="117"/>
      <c r="I397" s="117"/>
      <c r="J397" s="84"/>
      <c r="L397" s="75" t="str">
        <f t="shared" si="36"/>
        <v/>
      </c>
      <c r="M397" s="75" t="str">
        <f t="shared" si="37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3"/>
        <v/>
      </c>
      <c r="D398" s="72" t="str">
        <f t="shared" si="34"/>
        <v/>
      </c>
      <c r="E398" s="84"/>
      <c r="F398" s="122" t="str">
        <f t="shared" si="35"/>
        <v/>
      </c>
      <c r="G398" s="117"/>
      <c r="H398" s="117"/>
      <c r="I398" s="117"/>
      <c r="J398" s="84"/>
      <c r="L398" s="75" t="str">
        <f t="shared" si="36"/>
        <v/>
      </c>
      <c r="M398" s="75" t="str">
        <f t="shared" si="37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3"/>
        <v/>
      </c>
      <c r="D399" s="72" t="str">
        <f t="shared" si="34"/>
        <v/>
      </c>
      <c r="E399" s="84"/>
      <c r="F399" s="122" t="str">
        <f t="shared" si="35"/>
        <v/>
      </c>
      <c r="G399" s="117"/>
      <c r="H399" s="117"/>
      <c r="I399" s="117"/>
      <c r="J399" s="84"/>
      <c r="L399" s="75" t="str">
        <f t="shared" si="36"/>
        <v/>
      </c>
      <c r="M399" s="75" t="str">
        <f t="shared" si="37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3"/>
        <v/>
      </c>
      <c r="D400" s="72" t="str">
        <f t="shared" si="34"/>
        <v/>
      </c>
      <c r="E400" s="84"/>
      <c r="F400" s="122" t="str">
        <f t="shared" si="35"/>
        <v/>
      </c>
      <c r="G400" s="117"/>
      <c r="H400" s="117"/>
      <c r="I400" s="117"/>
      <c r="J400" s="84"/>
      <c r="L400" s="75" t="str">
        <f t="shared" si="36"/>
        <v/>
      </c>
      <c r="M400" s="75" t="str">
        <f t="shared" si="37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3"/>
        <v/>
      </c>
      <c r="D401" s="72" t="str">
        <f t="shared" si="34"/>
        <v/>
      </c>
      <c r="E401" s="84"/>
      <c r="F401" s="122" t="str">
        <f t="shared" si="35"/>
        <v/>
      </c>
      <c r="G401" s="117"/>
      <c r="H401" s="117"/>
      <c r="I401" s="117"/>
      <c r="J401" s="84"/>
      <c r="L401" s="75" t="str">
        <f t="shared" si="36"/>
        <v/>
      </c>
      <c r="M401" s="75" t="str">
        <f t="shared" si="37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3"/>
        <v/>
      </c>
      <c r="D402" s="72" t="str">
        <f t="shared" si="34"/>
        <v/>
      </c>
      <c r="E402" s="84"/>
      <c r="F402" s="122" t="str">
        <f t="shared" si="35"/>
        <v/>
      </c>
      <c r="G402" s="117"/>
      <c r="H402" s="117"/>
      <c r="I402" s="117"/>
      <c r="J402" s="84"/>
      <c r="L402" s="75" t="str">
        <f t="shared" si="36"/>
        <v/>
      </c>
      <c r="M402" s="75" t="str">
        <f t="shared" si="37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3"/>
        <v/>
      </c>
      <c r="D403" s="72" t="str">
        <f t="shared" si="34"/>
        <v/>
      </c>
      <c r="E403" s="84"/>
      <c r="F403" s="122" t="str">
        <f t="shared" si="35"/>
        <v/>
      </c>
      <c r="G403" s="117"/>
      <c r="H403" s="117"/>
      <c r="I403" s="117"/>
      <c r="J403" s="84"/>
      <c r="L403" s="75" t="str">
        <f t="shared" si="36"/>
        <v/>
      </c>
      <c r="M403" s="75" t="str">
        <f t="shared" si="37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3"/>
        <v/>
      </c>
      <c r="D404" s="72" t="str">
        <f t="shared" si="34"/>
        <v/>
      </c>
      <c r="E404" s="84"/>
      <c r="F404" s="122" t="str">
        <f t="shared" si="35"/>
        <v/>
      </c>
      <c r="G404" s="117"/>
      <c r="H404" s="117"/>
      <c r="I404" s="117"/>
      <c r="J404" s="84"/>
      <c r="L404" s="75" t="str">
        <f t="shared" si="36"/>
        <v/>
      </c>
      <c r="M404" s="75" t="str">
        <f t="shared" si="37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3"/>
        <v/>
      </c>
      <c r="D405" s="72" t="str">
        <f t="shared" si="34"/>
        <v/>
      </c>
      <c r="E405" s="84"/>
      <c r="F405" s="122" t="str">
        <f t="shared" si="35"/>
        <v/>
      </c>
      <c r="G405" s="117"/>
      <c r="H405" s="117"/>
      <c r="I405" s="117"/>
      <c r="J405" s="84"/>
      <c r="L405" s="75" t="str">
        <f t="shared" si="36"/>
        <v/>
      </c>
      <c r="M405" s="75" t="str">
        <f t="shared" si="37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3"/>
        <v/>
      </c>
      <c r="D406" s="72" t="str">
        <f t="shared" si="34"/>
        <v/>
      </c>
      <c r="E406" s="84"/>
      <c r="F406" s="122" t="str">
        <f t="shared" si="35"/>
        <v/>
      </c>
      <c r="G406" s="117"/>
      <c r="H406" s="117"/>
      <c r="I406" s="117"/>
      <c r="J406" s="84"/>
      <c r="L406" s="75" t="str">
        <f t="shared" si="36"/>
        <v/>
      </c>
      <c r="M406" s="75" t="str">
        <f t="shared" si="37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3"/>
        <v/>
      </c>
      <c r="D407" s="72" t="str">
        <f t="shared" si="34"/>
        <v/>
      </c>
      <c r="E407" s="84"/>
      <c r="F407" s="122" t="str">
        <f t="shared" si="35"/>
        <v/>
      </c>
      <c r="G407" s="117"/>
      <c r="H407" s="117"/>
      <c r="I407" s="117"/>
      <c r="J407" s="84"/>
      <c r="L407" s="75" t="str">
        <f t="shared" si="36"/>
        <v/>
      </c>
      <c r="M407" s="75" t="str">
        <f t="shared" si="37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3"/>
        <v/>
      </c>
      <c r="D408" s="72" t="str">
        <f t="shared" si="34"/>
        <v/>
      </c>
      <c r="E408" s="84"/>
      <c r="F408" s="122" t="str">
        <f t="shared" si="35"/>
        <v/>
      </c>
      <c r="G408" s="117"/>
      <c r="H408" s="117"/>
      <c r="I408" s="117"/>
      <c r="J408" s="84"/>
      <c r="L408" s="75" t="str">
        <f t="shared" si="36"/>
        <v/>
      </c>
      <c r="M408" s="75" t="str">
        <f t="shared" si="37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3"/>
        <v/>
      </c>
      <c r="D409" s="72" t="str">
        <f t="shared" si="34"/>
        <v/>
      </c>
      <c r="E409" s="84"/>
      <c r="F409" s="122" t="str">
        <f t="shared" si="35"/>
        <v/>
      </c>
      <c r="G409" s="117"/>
      <c r="H409" s="117"/>
      <c r="I409" s="117"/>
      <c r="J409" s="84"/>
      <c r="L409" s="75" t="str">
        <f t="shared" si="36"/>
        <v/>
      </c>
      <c r="M409" s="75" t="str">
        <f t="shared" si="37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3"/>
        <v/>
      </c>
      <c r="D410" s="72" t="str">
        <f t="shared" si="34"/>
        <v/>
      </c>
      <c r="E410" s="84"/>
      <c r="F410" s="122" t="str">
        <f t="shared" si="35"/>
        <v/>
      </c>
      <c r="G410" s="117"/>
      <c r="H410" s="117"/>
      <c r="I410" s="117"/>
      <c r="J410" s="84"/>
      <c r="L410" s="75" t="str">
        <f t="shared" si="36"/>
        <v/>
      </c>
      <c r="M410" s="75" t="str">
        <f t="shared" si="37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3"/>
        <v/>
      </c>
      <c r="D411" s="72" t="str">
        <f t="shared" si="34"/>
        <v/>
      </c>
      <c r="E411" s="84"/>
      <c r="F411" s="122" t="str">
        <f t="shared" si="35"/>
        <v/>
      </c>
      <c r="G411" s="117"/>
      <c r="H411" s="117"/>
      <c r="I411" s="117"/>
      <c r="J411" s="84"/>
      <c r="L411" s="75" t="str">
        <f t="shared" si="36"/>
        <v/>
      </c>
      <c r="M411" s="75" t="str">
        <f t="shared" si="37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3"/>
        <v/>
      </c>
      <c r="D412" s="72" t="str">
        <f t="shared" si="34"/>
        <v/>
      </c>
      <c r="E412" s="84"/>
      <c r="F412" s="122" t="str">
        <f t="shared" si="35"/>
        <v/>
      </c>
      <c r="G412" s="117"/>
      <c r="H412" s="117"/>
      <c r="I412" s="117"/>
      <c r="J412" s="84"/>
      <c r="L412" s="75" t="str">
        <f t="shared" si="36"/>
        <v/>
      </c>
      <c r="M412" s="75" t="str">
        <f t="shared" si="37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3"/>
        <v/>
      </c>
      <c r="D413" s="72" t="str">
        <f t="shared" si="34"/>
        <v/>
      </c>
      <c r="E413" s="84"/>
      <c r="F413" s="122" t="str">
        <f t="shared" si="35"/>
        <v/>
      </c>
      <c r="G413" s="117"/>
      <c r="H413" s="117"/>
      <c r="I413" s="117"/>
      <c r="J413" s="84"/>
      <c r="L413" s="75" t="str">
        <f t="shared" si="36"/>
        <v/>
      </c>
      <c r="M413" s="75" t="str">
        <f t="shared" si="37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3"/>
        <v/>
      </c>
      <c r="D414" s="72" t="str">
        <f t="shared" si="34"/>
        <v/>
      </c>
      <c r="E414" s="84"/>
      <c r="F414" s="122" t="str">
        <f t="shared" si="35"/>
        <v/>
      </c>
      <c r="G414" s="117"/>
      <c r="H414" s="117"/>
      <c r="I414" s="117"/>
      <c r="J414" s="84"/>
      <c r="L414" s="75" t="str">
        <f t="shared" si="36"/>
        <v/>
      </c>
      <c r="M414" s="75" t="str">
        <f t="shared" si="37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3"/>
        <v/>
      </c>
      <c r="D415" s="72" t="str">
        <f t="shared" si="34"/>
        <v/>
      </c>
      <c r="E415" s="84"/>
      <c r="F415" s="122" t="str">
        <f t="shared" si="35"/>
        <v/>
      </c>
      <c r="G415" s="117"/>
      <c r="H415" s="117"/>
      <c r="I415" s="117"/>
      <c r="J415" s="84"/>
      <c r="L415" s="75" t="str">
        <f t="shared" si="36"/>
        <v/>
      </c>
      <c r="M415" s="75" t="str">
        <f t="shared" si="37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3"/>
        <v/>
      </c>
      <c r="D416" s="72" t="str">
        <f t="shared" si="34"/>
        <v/>
      </c>
      <c r="E416" s="84"/>
      <c r="F416" s="122" t="str">
        <f t="shared" si="35"/>
        <v/>
      </c>
      <c r="G416" s="117"/>
      <c r="H416" s="117"/>
      <c r="I416" s="117"/>
      <c r="J416" s="84"/>
      <c r="L416" s="75" t="str">
        <f t="shared" si="36"/>
        <v/>
      </c>
      <c r="M416" s="75" t="str">
        <f t="shared" si="37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3"/>
        <v/>
      </c>
      <c r="D417" s="72" t="str">
        <f t="shared" si="34"/>
        <v/>
      </c>
      <c r="E417" s="84"/>
      <c r="F417" s="122" t="str">
        <f t="shared" si="35"/>
        <v/>
      </c>
      <c r="G417" s="117"/>
      <c r="H417" s="117"/>
      <c r="I417" s="117"/>
      <c r="J417" s="84"/>
      <c r="L417" s="75" t="str">
        <f t="shared" si="36"/>
        <v/>
      </c>
      <c r="M417" s="75" t="str">
        <f t="shared" si="37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3"/>
        <v/>
      </c>
      <c r="D418" s="72" t="str">
        <f t="shared" si="34"/>
        <v/>
      </c>
      <c r="E418" s="84"/>
      <c r="F418" s="122" t="str">
        <f t="shared" si="35"/>
        <v/>
      </c>
      <c r="G418" s="117"/>
      <c r="H418" s="117"/>
      <c r="I418" s="117"/>
      <c r="J418" s="84"/>
      <c r="L418" s="75" t="str">
        <f t="shared" si="36"/>
        <v/>
      </c>
      <c r="M418" s="75" t="str">
        <f t="shared" si="37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3"/>
        <v/>
      </c>
      <c r="D419" s="72" t="str">
        <f t="shared" si="34"/>
        <v/>
      </c>
      <c r="E419" s="84"/>
      <c r="F419" s="122" t="str">
        <f t="shared" si="35"/>
        <v/>
      </c>
      <c r="G419" s="117"/>
      <c r="H419" s="117"/>
      <c r="I419" s="117"/>
      <c r="J419" s="84"/>
      <c r="L419" s="75" t="str">
        <f t="shared" si="36"/>
        <v/>
      </c>
      <c r="M419" s="75" t="str">
        <f t="shared" si="37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3"/>
        <v/>
      </c>
      <c r="D420" s="72" t="str">
        <f t="shared" si="34"/>
        <v/>
      </c>
      <c r="E420" s="84"/>
      <c r="F420" s="122" t="str">
        <f t="shared" si="35"/>
        <v/>
      </c>
      <c r="G420" s="117"/>
      <c r="H420" s="117"/>
      <c r="I420" s="117"/>
      <c r="J420" s="84"/>
      <c r="L420" s="75" t="str">
        <f t="shared" si="36"/>
        <v/>
      </c>
      <c r="M420" s="75" t="str">
        <f t="shared" si="37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3"/>
        <v/>
      </c>
      <c r="D421" s="72" t="str">
        <f t="shared" si="34"/>
        <v/>
      </c>
      <c r="E421" s="84"/>
      <c r="F421" s="122" t="str">
        <f t="shared" si="35"/>
        <v/>
      </c>
      <c r="G421" s="117"/>
      <c r="H421" s="117"/>
      <c r="I421" s="117"/>
      <c r="J421" s="84"/>
      <c r="L421" s="75" t="str">
        <f t="shared" si="36"/>
        <v/>
      </c>
      <c r="M421" s="75" t="str">
        <f t="shared" si="37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3"/>
        <v/>
      </c>
      <c r="D422" s="72" t="str">
        <f t="shared" si="34"/>
        <v/>
      </c>
      <c r="E422" s="84"/>
      <c r="F422" s="122" t="str">
        <f t="shared" si="35"/>
        <v/>
      </c>
      <c r="G422" s="117"/>
      <c r="H422" s="117"/>
      <c r="I422" s="117"/>
      <c r="J422" s="84"/>
      <c r="L422" s="75" t="str">
        <f t="shared" si="36"/>
        <v/>
      </c>
      <c r="M422" s="75" t="str">
        <f t="shared" si="37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3"/>
        <v/>
      </c>
      <c r="D423" s="72" t="str">
        <f t="shared" si="34"/>
        <v/>
      </c>
      <c r="E423" s="84"/>
      <c r="F423" s="122" t="str">
        <f t="shared" si="35"/>
        <v/>
      </c>
      <c r="G423" s="117"/>
      <c r="H423" s="117"/>
      <c r="I423" s="117"/>
      <c r="J423" s="84"/>
      <c r="L423" s="75" t="str">
        <f t="shared" si="36"/>
        <v/>
      </c>
      <c r="M423" s="75" t="str">
        <f t="shared" si="37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3"/>
        <v/>
      </c>
      <c r="D424" s="72" t="str">
        <f t="shared" si="34"/>
        <v/>
      </c>
      <c r="E424" s="84"/>
      <c r="F424" s="122" t="str">
        <f t="shared" si="35"/>
        <v/>
      </c>
      <c r="G424" s="117"/>
      <c r="H424" s="117"/>
      <c r="I424" s="117"/>
      <c r="J424" s="84"/>
      <c r="L424" s="75" t="str">
        <f t="shared" si="36"/>
        <v/>
      </c>
      <c r="M424" s="75" t="str">
        <f t="shared" si="37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3"/>
        <v/>
      </c>
      <c r="D425" s="72" t="str">
        <f t="shared" si="34"/>
        <v/>
      </c>
      <c r="E425" s="84"/>
      <c r="F425" s="122" t="str">
        <f t="shared" si="35"/>
        <v/>
      </c>
      <c r="G425" s="117"/>
      <c r="H425" s="117"/>
      <c r="I425" s="117"/>
      <c r="J425" s="84"/>
      <c r="L425" s="75" t="str">
        <f t="shared" si="36"/>
        <v/>
      </c>
      <c r="M425" s="75" t="str">
        <f t="shared" si="37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3"/>
        <v/>
      </c>
      <c r="D426" s="72" t="str">
        <f t="shared" si="34"/>
        <v/>
      </c>
      <c r="E426" s="84"/>
      <c r="F426" s="122" t="str">
        <f t="shared" si="35"/>
        <v/>
      </c>
      <c r="G426" s="117"/>
      <c r="H426" s="117"/>
      <c r="I426" s="117"/>
      <c r="J426" s="84"/>
      <c r="L426" s="75" t="str">
        <f t="shared" si="36"/>
        <v/>
      </c>
      <c r="M426" s="75" t="str">
        <f t="shared" si="37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3"/>
        <v/>
      </c>
      <c r="D427" s="72" t="str">
        <f t="shared" si="34"/>
        <v/>
      </c>
      <c r="E427" s="84"/>
      <c r="F427" s="122" t="str">
        <f t="shared" si="35"/>
        <v/>
      </c>
      <c r="G427" s="117"/>
      <c r="H427" s="117"/>
      <c r="I427" s="117"/>
      <c r="J427" s="84"/>
      <c r="L427" s="75" t="str">
        <f t="shared" si="36"/>
        <v/>
      </c>
      <c r="M427" s="75" t="str">
        <f t="shared" si="37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3"/>
        <v/>
      </c>
      <c r="D428" s="72" t="str">
        <f t="shared" si="34"/>
        <v/>
      </c>
      <c r="E428" s="84"/>
      <c r="F428" s="122" t="str">
        <f t="shared" si="35"/>
        <v/>
      </c>
      <c r="G428" s="117"/>
      <c r="H428" s="117"/>
      <c r="I428" s="117"/>
      <c r="J428" s="84"/>
      <c r="L428" s="75" t="str">
        <f t="shared" si="36"/>
        <v/>
      </c>
      <c r="M428" s="75" t="str">
        <f t="shared" si="37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3"/>
        <v/>
      </c>
      <c r="D429" s="72" t="str">
        <f t="shared" si="34"/>
        <v/>
      </c>
      <c r="E429" s="84"/>
      <c r="F429" s="122" t="str">
        <f t="shared" si="35"/>
        <v/>
      </c>
      <c r="G429" s="117"/>
      <c r="H429" s="117"/>
      <c r="I429" s="117"/>
      <c r="J429" s="84"/>
      <c r="L429" s="75" t="str">
        <f t="shared" si="36"/>
        <v/>
      </c>
      <c r="M429" s="75" t="str">
        <f t="shared" si="37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3"/>
        <v/>
      </c>
      <c r="D430" s="72" t="str">
        <f t="shared" si="34"/>
        <v/>
      </c>
      <c r="E430" s="84"/>
      <c r="F430" s="122" t="str">
        <f t="shared" si="35"/>
        <v/>
      </c>
      <c r="G430" s="117"/>
      <c r="H430" s="117"/>
      <c r="I430" s="117"/>
      <c r="J430" s="84"/>
      <c r="L430" s="75" t="str">
        <f t="shared" si="36"/>
        <v/>
      </c>
      <c r="M430" s="75" t="str">
        <f t="shared" si="37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3"/>
        <v/>
      </c>
      <c r="D431" s="72" t="str">
        <f t="shared" si="34"/>
        <v/>
      </c>
      <c r="E431" s="84"/>
      <c r="F431" s="122" t="str">
        <f t="shared" si="35"/>
        <v/>
      </c>
      <c r="G431" s="117"/>
      <c r="H431" s="117"/>
      <c r="I431" s="117"/>
      <c r="J431" s="84"/>
      <c r="L431" s="75" t="str">
        <f t="shared" si="36"/>
        <v/>
      </c>
      <c r="M431" s="75" t="str">
        <f t="shared" si="37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3"/>
        <v/>
      </c>
      <c r="D432" s="72" t="str">
        <f t="shared" si="34"/>
        <v/>
      </c>
      <c r="E432" s="84"/>
      <c r="F432" s="122" t="str">
        <f t="shared" si="35"/>
        <v/>
      </c>
      <c r="G432" s="117"/>
      <c r="H432" s="117"/>
      <c r="I432" s="117"/>
      <c r="J432" s="84"/>
      <c r="L432" s="75" t="str">
        <f t="shared" si="36"/>
        <v/>
      </c>
      <c r="M432" s="75" t="str">
        <f t="shared" si="37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3"/>
        <v/>
      </c>
      <c r="D433" s="72" t="str">
        <f t="shared" si="34"/>
        <v/>
      </c>
      <c r="E433" s="84"/>
      <c r="F433" s="122" t="str">
        <f t="shared" si="35"/>
        <v/>
      </c>
      <c r="G433" s="117"/>
      <c r="H433" s="117"/>
      <c r="I433" s="117"/>
      <c r="J433" s="84"/>
      <c r="L433" s="75" t="str">
        <f t="shared" si="36"/>
        <v/>
      </c>
      <c r="M433" s="75" t="str">
        <f t="shared" si="37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3"/>
        <v/>
      </c>
      <c r="D434" s="72" t="str">
        <f t="shared" si="34"/>
        <v/>
      </c>
      <c r="E434" s="84"/>
      <c r="F434" s="122" t="str">
        <f t="shared" si="35"/>
        <v/>
      </c>
      <c r="G434" s="117"/>
      <c r="H434" s="117"/>
      <c r="I434" s="117"/>
      <c r="J434" s="84"/>
      <c r="L434" s="75" t="str">
        <f t="shared" si="36"/>
        <v/>
      </c>
      <c r="M434" s="75" t="str">
        <f t="shared" si="37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3"/>
        <v/>
      </c>
      <c r="D435" s="72" t="str">
        <f t="shared" si="34"/>
        <v/>
      </c>
      <c r="E435" s="84"/>
      <c r="F435" s="122" t="str">
        <f t="shared" si="35"/>
        <v/>
      </c>
      <c r="G435" s="117"/>
      <c r="H435" s="117"/>
      <c r="I435" s="117"/>
      <c r="J435" s="84"/>
      <c r="L435" s="75" t="str">
        <f t="shared" si="36"/>
        <v/>
      </c>
      <c r="M435" s="75" t="str">
        <f t="shared" si="37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3"/>
        <v/>
      </c>
      <c r="D436" s="72" t="str">
        <f t="shared" si="34"/>
        <v/>
      </c>
      <c r="E436" s="84"/>
      <c r="F436" s="122" t="str">
        <f t="shared" si="35"/>
        <v/>
      </c>
      <c r="G436" s="117"/>
      <c r="H436" s="117"/>
      <c r="I436" s="117"/>
      <c r="J436" s="84"/>
      <c r="L436" s="75" t="str">
        <f t="shared" si="36"/>
        <v/>
      </c>
      <c r="M436" s="75" t="str">
        <f t="shared" si="37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3"/>
        <v/>
      </c>
      <c r="D437" s="72" t="str">
        <f t="shared" si="34"/>
        <v/>
      </c>
      <c r="E437" s="84"/>
      <c r="F437" s="122" t="str">
        <f t="shared" si="35"/>
        <v/>
      </c>
      <c r="G437" s="117"/>
      <c r="H437" s="117"/>
      <c r="I437" s="117"/>
      <c r="J437" s="84"/>
      <c r="L437" s="75" t="str">
        <f t="shared" si="36"/>
        <v/>
      </c>
      <c r="M437" s="75" t="str">
        <f t="shared" si="37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3"/>
        <v/>
      </c>
      <c r="D438" s="72" t="str">
        <f t="shared" si="34"/>
        <v/>
      </c>
      <c r="E438" s="84"/>
      <c r="F438" s="122" t="str">
        <f t="shared" si="35"/>
        <v/>
      </c>
      <c r="G438" s="117"/>
      <c r="H438" s="117"/>
      <c r="I438" s="117"/>
      <c r="J438" s="84"/>
      <c r="L438" s="75" t="str">
        <f t="shared" si="36"/>
        <v/>
      </c>
      <c r="M438" s="75" t="str">
        <f t="shared" si="37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3"/>
        <v/>
      </c>
      <c r="D439" s="72" t="str">
        <f t="shared" si="34"/>
        <v/>
      </c>
      <c r="E439" s="84"/>
      <c r="F439" s="122" t="str">
        <f t="shared" si="35"/>
        <v/>
      </c>
      <c r="G439" s="117"/>
      <c r="H439" s="117"/>
      <c r="I439" s="117"/>
      <c r="J439" s="84"/>
      <c r="L439" s="75" t="str">
        <f t="shared" si="36"/>
        <v/>
      </c>
      <c r="M439" s="75" t="str">
        <f t="shared" si="37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3"/>
        <v/>
      </c>
      <c r="D440" s="72" t="str">
        <f t="shared" si="34"/>
        <v/>
      </c>
      <c r="E440" s="84"/>
      <c r="F440" s="122" t="str">
        <f t="shared" si="35"/>
        <v/>
      </c>
      <c r="G440" s="117"/>
      <c r="H440" s="117"/>
      <c r="I440" s="117"/>
      <c r="J440" s="84"/>
      <c r="L440" s="75" t="str">
        <f t="shared" si="36"/>
        <v/>
      </c>
      <c r="M440" s="75" t="str">
        <f t="shared" si="37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3"/>
        <v/>
      </c>
      <c r="D441" s="72" t="str">
        <f t="shared" si="34"/>
        <v/>
      </c>
      <c r="E441" s="84"/>
      <c r="F441" s="122" t="str">
        <f t="shared" si="35"/>
        <v/>
      </c>
      <c r="G441" s="117"/>
      <c r="H441" s="117"/>
      <c r="I441" s="117"/>
      <c r="J441" s="84"/>
      <c r="L441" s="75" t="str">
        <f t="shared" si="36"/>
        <v/>
      </c>
      <c r="M441" s="75" t="str">
        <f t="shared" si="37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3"/>
        <v/>
      </c>
      <c r="D442" s="72" t="str">
        <f t="shared" si="34"/>
        <v/>
      </c>
      <c r="E442" s="84"/>
      <c r="F442" s="122" t="str">
        <f t="shared" si="35"/>
        <v/>
      </c>
      <c r="G442" s="117"/>
      <c r="H442" s="117"/>
      <c r="I442" s="117"/>
      <c r="J442" s="84"/>
      <c r="L442" s="75" t="str">
        <f t="shared" si="36"/>
        <v/>
      </c>
      <c r="M442" s="75" t="str">
        <f t="shared" si="37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3"/>
        <v/>
      </c>
      <c r="D443" s="72" t="str">
        <f t="shared" si="34"/>
        <v/>
      </c>
      <c r="E443" s="84"/>
      <c r="F443" s="122" t="str">
        <f t="shared" si="35"/>
        <v/>
      </c>
      <c r="G443" s="117"/>
      <c r="H443" s="117"/>
      <c r="I443" s="117"/>
      <c r="J443" s="84"/>
      <c r="L443" s="75" t="str">
        <f t="shared" si="36"/>
        <v/>
      </c>
      <c r="M443" s="75" t="str">
        <f t="shared" si="37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3"/>
        <v/>
      </c>
      <c r="D444" s="72" t="str">
        <f t="shared" si="34"/>
        <v/>
      </c>
      <c r="E444" s="84"/>
      <c r="F444" s="122" t="str">
        <f t="shared" si="35"/>
        <v/>
      </c>
      <c r="G444" s="117"/>
      <c r="H444" s="117"/>
      <c r="I444" s="117"/>
      <c r="J444" s="84"/>
      <c r="L444" s="75" t="str">
        <f t="shared" si="36"/>
        <v/>
      </c>
      <c r="M444" s="75" t="str">
        <f t="shared" si="37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3"/>
        <v/>
      </c>
      <c r="D445" s="72" t="str">
        <f t="shared" si="34"/>
        <v/>
      </c>
      <c r="E445" s="84"/>
      <c r="F445" s="122" t="str">
        <f t="shared" si="35"/>
        <v/>
      </c>
      <c r="G445" s="117"/>
      <c r="H445" s="117"/>
      <c r="I445" s="117"/>
      <c r="J445" s="84"/>
      <c r="L445" s="75" t="str">
        <f t="shared" si="36"/>
        <v/>
      </c>
      <c r="M445" s="75" t="str">
        <f t="shared" si="37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3"/>
        <v/>
      </c>
      <c r="D446" s="72" t="str">
        <f t="shared" si="34"/>
        <v/>
      </c>
      <c r="E446" s="84"/>
      <c r="F446" s="122" t="str">
        <f t="shared" si="35"/>
        <v/>
      </c>
      <c r="G446" s="117"/>
      <c r="H446" s="117"/>
      <c r="I446" s="117"/>
      <c r="J446" s="84"/>
      <c r="L446" s="75" t="str">
        <f t="shared" si="36"/>
        <v/>
      </c>
      <c r="M446" s="75" t="str">
        <f t="shared" si="37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3"/>
        <v/>
      </c>
      <c r="D447" s="72" t="str">
        <f t="shared" si="34"/>
        <v/>
      </c>
      <c r="E447" s="84"/>
      <c r="F447" s="122" t="str">
        <f t="shared" si="35"/>
        <v/>
      </c>
      <c r="G447" s="117"/>
      <c r="H447" s="117"/>
      <c r="I447" s="117"/>
      <c r="J447" s="84"/>
      <c r="L447" s="75" t="str">
        <f t="shared" si="36"/>
        <v/>
      </c>
      <c r="M447" s="75" t="str">
        <f t="shared" si="37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3"/>
        <v/>
      </c>
      <c r="D448" s="72" t="str">
        <f t="shared" si="34"/>
        <v/>
      </c>
      <c r="E448" s="84"/>
      <c r="F448" s="122" t="str">
        <f t="shared" si="35"/>
        <v/>
      </c>
      <c r="G448" s="117"/>
      <c r="H448" s="117"/>
      <c r="I448" s="117"/>
      <c r="J448" s="84"/>
      <c r="L448" s="75" t="str">
        <f t="shared" si="36"/>
        <v/>
      </c>
      <c r="M448" s="75" t="str">
        <f t="shared" si="37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3"/>
        <v/>
      </c>
      <c r="D449" s="72" t="str">
        <f t="shared" si="34"/>
        <v/>
      </c>
      <c r="E449" s="84"/>
      <c r="F449" s="122" t="str">
        <f t="shared" si="35"/>
        <v/>
      </c>
      <c r="G449" s="117"/>
      <c r="H449" s="117"/>
      <c r="I449" s="117"/>
      <c r="J449" s="84"/>
      <c r="L449" s="75" t="str">
        <f t="shared" si="36"/>
        <v/>
      </c>
      <c r="M449" s="75" t="str">
        <f t="shared" si="37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ref="C450:C500" si="38">IFERROR(VLOOKUP(E450,$R$5:$U$112,3,FALSE),"")</f>
        <v/>
      </c>
      <c r="D450" s="72" t="str">
        <f t="shared" ref="D450:D500" si="39">IFERROR(VLOOKUP(E450,$R$5:$U$112,4,FALSE),"")</f>
        <v/>
      </c>
      <c r="E450" s="84"/>
      <c r="F450" s="122" t="str">
        <f t="shared" ref="F450:F500" si="40">IFERROR(VLOOKUP(E450,$R$5:$U$112,2,FALSE),"")</f>
        <v/>
      </c>
      <c r="G450" s="117"/>
      <c r="H450" s="117"/>
      <c r="I450" s="117"/>
      <c r="J450" s="84"/>
      <c r="L450" s="75" t="str">
        <f t="shared" si="36"/>
        <v/>
      </c>
      <c r="M450" s="75" t="str">
        <f t="shared" si="37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8"/>
        <v/>
      </c>
      <c r="D451" s="72" t="str">
        <f t="shared" si="39"/>
        <v/>
      </c>
      <c r="E451" s="84"/>
      <c r="F451" s="122" t="str">
        <f t="shared" si="40"/>
        <v/>
      </c>
      <c r="G451" s="117"/>
      <c r="H451" s="117"/>
      <c r="I451" s="117"/>
      <c r="J451" s="84"/>
      <c r="L451" s="75" t="str">
        <f t="shared" ref="L451:L500" si="41">LEFT(E451,2)</f>
        <v/>
      </c>
      <c r="M451" s="75" t="str">
        <f t="shared" ref="M451:M500" si="42">LEFT(E451,3)</f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8"/>
        <v/>
      </c>
      <c r="D452" s="72" t="str">
        <f t="shared" si="39"/>
        <v/>
      </c>
      <c r="E452" s="84"/>
      <c r="F452" s="122" t="str">
        <f t="shared" si="40"/>
        <v/>
      </c>
      <c r="G452" s="117"/>
      <c r="H452" s="117"/>
      <c r="I452" s="117"/>
      <c r="J452" s="84"/>
      <c r="L452" s="75" t="str">
        <f t="shared" si="41"/>
        <v/>
      </c>
      <c r="M452" s="75" t="str">
        <f t="shared" si="42"/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8"/>
        <v/>
      </c>
      <c r="D453" s="72" t="str">
        <f t="shared" si="39"/>
        <v/>
      </c>
      <c r="E453" s="84"/>
      <c r="F453" s="122" t="str">
        <f t="shared" si="40"/>
        <v/>
      </c>
      <c r="G453" s="117"/>
      <c r="H453" s="117"/>
      <c r="I453" s="117"/>
      <c r="J453" s="84"/>
      <c r="L453" s="75" t="str">
        <f t="shared" si="41"/>
        <v/>
      </c>
      <c r="M453" s="75" t="str">
        <f t="shared" si="42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8"/>
        <v/>
      </c>
      <c r="D454" s="72" t="str">
        <f t="shared" si="39"/>
        <v/>
      </c>
      <c r="E454" s="84"/>
      <c r="F454" s="122" t="str">
        <f t="shared" si="40"/>
        <v/>
      </c>
      <c r="G454" s="117"/>
      <c r="H454" s="117"/>
      <c r="I454" s="117"/>
      <c r="J454" s="84"/>
      <c r="L454" s="75" t="str">
        <f t="shared" si="41"/>
        <v/>
      </c>
      <c r="M454" s="75" t="str">
        <f t="shared" si="42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8"/>
        <v/>
      </c>
      <c r="D455" s="72" t="str">
        <f t="shared" si="39"/>
        <v/>
      </c>
      <c r="E455" s="84"/>
      <c r="F455" s="122" t="str">
        <f t="shared" si="40"/>
        <v/>
      </c>
      <c r="G455" s="117"/>
      <c r="H455" s="117"/>
      <c r="I455" s="117"/>
      <c r="J455" s="84"/>
      <c r="L455" s="75" t="str">
        <f t="shared" si="41"/>
        <v/>
      </c>
      <c r="M455" s="75" t="str">
        <f t="shared" si="42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8"/>
        <v/>
      </c>
      <c r="D456" s="72" t="str">
        <f t="shared" si="39"/>
        <v/>
      </c>
      <c r="E456" s="84"/>
      <c r="F456" s="122" t="str">
        <f t="shared" si="40"/>
        <v/>
      </c>
      <c r="G456" s="117"/>
      <c r="H456" s="117"/>
      <c r="I456" s="117"/>
      <c r="J456" s="84"/>
      <c r="L456" s="75" t="str">
        <f t="shared" si="41"/>
        <v/>
      </c>
      <c r="M456" s="75" t="str">
        <f t="shared" si="42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8"/>
        <v/>
      </c>
      <c r="D457" s="72" t="str">
        <f t="shared" si="39"/>
        <v/>
      </c>
      <c r="E457" s="84"/>
      <c r="F457" s="122" t="str">
        <f t="shared" si="40"/>
        <v/>
      </c>
      <c r="G457" s="117"/>
      <c r="H457" s="117"/>
      <c r="I457" s="117"/>
      <c r="J457" s="84"/>
      <c r="L457" s="75" t="str">
        <f t="shared" si="41"/>
        <v/>
      </c>
      <c r="M457" s="75" t="str">
        <f t="shared" si="42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8"/>
        <v/>
      </c>
      <c r="D458" s="72" t="str">
        <f t="shared" si="39"/>
        <v/>
      </c>
      <c r="E458" s="84"/>
      <c r="F458" s="122" t="str">
        <f t="shared" si="40"/>
        <v/>
      </c>
      <c r="G458" s="117"/>
      <c r="H458" s="117"/>
      <c r="I458" s="117"/>
      <c r="J458" s="84"/>
      <c r="L458" s="75" t="str">
        <f t="shared" si="41"/>
        <v/>
      </c>
      <c r="M458" s="75" t="str">
        <f t="shared" si="42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8"/>
        <v/>
      </c>
      <c r="D459" s="72" t="str">
        <f t="shared" si="39"/>
        <v/>
      </c>
      <c r="E459" s="84"/>
      <c r="F459" s="122" t="str">
        <f t="shared" si="40"/>
        <v/>
      </c>
      <c r="G459" s="117"/>
      <c r="H459" s="117"/>
      <c r="I459" s="117"/>
      <c r="J459" s="84"/>
      <c r="L459" s="75" t="str">
        <f t="shared" si="41"/>
        <v/>
      </c>
      <c r="M459" s="75" t="str">
        <f t="shared" si="42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8"/>
        <v/>
      </c>
      <c r="D460" s="72" t="str">
        <f t="shared" si="39"/>
        <v/>
      </c>
      <c r="E460" s="84"/>
      <c r="F460" s="122" t="str">
        <f t="shared" si="40"/>
        <v/>
      </c>
      <c r="G460" s="117"/>
      <c r="H460" s="117"/>
      <c r="I460" s="117"/>
      <c r="J460" s="84"/>
      <c r="L460" s="75" t="str">
        <f t="shared" si="41"/>
        <v/>
      </c>
      <c r="M460" s="75" t="str">
        <f t="shared" si="42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8"/>
        <v/>
      </c>
      <c r="D461" s="72" t="str">
        <f t="shared" si="39"/>
        <v/>
      </c>
      <c r="E461" s="84"/>
      <c r="F461" s="122" t="str">
        <f t="shared" si="40"/>
        <v/>
      </c>
      <c r="G461" s="117"/>
      <c r="H461" s="117"/>
      <c r="I461" s="117"/>
      <c r="J461" s="84"/>
      <c r="L461" s="75" t="str">
        <f t="shared" si="41"/>
        <v/>
      </c>
      <c r="M461" s="75" t="str">
        <f t="shared" si="42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8"/>
        <v/>
      </c>
      <c r="D462" s="72" t="str">
        <f t="shared" si="39"/>
        <v/>
      </c>
      <c r="E462" s="84"/>
      <c r="F462" s="122" t="str">
        <f t="shared" si="40"/>
        <v/>
      </c>
      <c r="G462" s="117"/>
      <c r="H462" s="117"/>
      <c r="I462" s="117"/>
      <c r="J462" s="84"/>
      <c r="L462" s="75" t="str">
        <f t="shared" si="41"/>
        <v/>
      </c>
      <c r="M462" s="75" t="str">
        <f t="shared" si="42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8"/>
        <v/>
      </c>
      <c r="D463" s="72" t="str">
        <f t="shared" si="39"/>
        <v/>
      </c>
      <c r="E463" s="84"/>
      <c r="F463" s="122" t="str">
        <f t="shared" si="40"/>
        <v/>
      </c>
      <c r="G463" s="117"/>
      <c r="H463" s="117"/>
      <c r="I463" s="117"/>
      <c r="J463" s="84"/>
      <c r="L463" s="75" t="str">
        <f t="shared" si="41"/>
        <v/>
      </c>
      <c r="M463" s="75" t="str">
        <f t="shared" si="42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8"/>
        <v/>
      </c>
      <c r="D464" s="72" t="str">
        <f t="shared" si="39"/>
        <v/>
      </c>
      <c r="E464" s="84"/>
      <c r="F464" s="122" t="str">
        <f t="shared" si="40"/>
        <v/>
      </c>
      <c r="G464" s="117"/>
      <c r="H464" s="117"/>
      <c r="I464" s="117"/>
      <c r="J464" s="84"/>
      <c r="L464" s="75" t="str">
        <f t="shared" si="41"/>
        <v/>
      </c>
      <c r="M464" s="75" t="str">
        <f t="shared" si="42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8"/>
        <v/>
      </c>
      <c r="D465" s="72" t="str">
        <f t="shared" si="39"/>
        <v/>
      </c>
      <c r="E465" s="84"/>
      <c r="F465" s="122" t="str">
        <f t="shared" si="40"/>
        <v/>
      </c>
      <c r="G465" s="117"/>
      <c r="H465" s="117"/>
      <c r="I465" s="117"/>
      <c r="J465" s="84"/>
      <c r="L465" s="75" t="str">
        <f t="shared" si="41"/>
        <v/>
      </c>
      <c r="M465" s="75" t="str">
        <f t="shared" si="42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8"/>
        <v/>
      </c>
      <c r="D466" s="72" t="str">
        <f t="shared" si="39"/>
        <v/>
      </c>
      <c r="E466" s="84"/>
      <c r="F466" s="122" t="str">
        <f t="shared" si="40"/>
        <v/>
      </c>
      <c r="G466" s="117"/>
      <c r="H466" s="117"/>
      <c r="I466" s="117"/>
      <c r="J466" s="84"/>
      <c r="L466" s="75" t="str">
        <f t="shared" si="41"/>
        <v/>
      </c>
      <c r="M466" s="75" t="str">
        <f t="shared" si="42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8"/>
        <v/>
      </c>
      <c r="D467" s="72" t="str">
        <f t="shared" si="39"/>
        <v/>
      </c>
      <c r="E467" s="84"/>
      <c r="F467" s="122" t="str">
        <f t="shared" si="40"/>
        <v/>
      </c>
      <c r="G467" s="117"/>
      <c r="H467" s="117"/>
      <c r="I467" s="117"/>
      <c r="J467" s="84"/>
      <c r="L467" s="75" t="str">
        <f t="shared" si="41"/>
        <v/>
      </c>
      <c r="M467" s="75" t="str">
        <f t="shared" si="42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8"/>
        <v/>
      </c>
      <c r="D468" s="72" t="str">
        <f t="shared" si="39"/>
        <v/>
      </c>
      <c r="E468" s="84"/>
      <c r="F468" s="122" t="str">
        <f t="shared" si="40"/>
        <v/>
      </c>
      <c r="G468" s="117"/>
      <c r="H468" s="117"/>
      <c r="I468" s="117"/>
      <c r="J468" s="84"/>
      <c r="L468" s="75" t="str">
        <f t="shared" si="41"/>
        <v/>
      </c>
      <c r="M468" s="75" t="str">
        <f t="shared" si="42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8"/>
        <v/>
      </c>
      <c r="D469" s="72" t="str">
        <f t="shared" si="39"/>
        <v/>
      </c>
      <c r="E469" s="84"/>
      <c r="F469" s="122" t="str">
        <f t="shared" si="40"/>
        <v/>
      </c>
      <c r="G469" s="117"/>
      <c r="H469" s="117"/>
      <c r="I469" s="117"/>
      <c r="J469" s="84"/>
      <c r="L469" s="75" t="str">
        <f t="shared" si="41"/>
        <v/>
      </c>
      <c r="M469" s="75" t="str">
        <f t="shared" si="42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8"/>
        <v/>
      </c>
      <c r="D470" s="72" t="str">
        <f t="shared" si="39"/>
        <v/>
      </c>
      <c r="E470" s="84"/>
      <c r="F470" s="122" t="str">
        <f t="shared" si="40"/>
        <v/>
      </c>
      <c r="G470" s="117"/>
      <c r="H470" s="117"/>
      <c r="I470" s="117"/>
      <c r="J470" s="84"/>
      <c r="L470" s="75" t="str">
        <f t="shared" si="41"/>
        <v/>
      </c>
      <c r="M470" s="75" t="str">
        <f t="shared" si="42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8"/>
        <v/>
      </c>
      <c r="D471" s="72" t="str">
        <f t="shared" si="39"/>
        <v/>
      </c>
      <c r="E471" s="84"/>
      <c r="F471" s="122" t="str">
        <f t="shared" si="40"/>
        <v/>
      </c>
      <c r="G471" s="117"/>
      <c r="H471" s="117"/>
      <c r="I471" s="117"/>
      <c r="J471" s="84"/>
      <c r="L471" s="75" t="str">
        <f t="shared" si="41"/>
        <v/>
      </c>
      <c r="M471" s="75" t="str">
        <f t="shared" si="42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8"/>
        <v/>
      </c>
      <c r="D472" s="72" t="str">
        <f t="shared" si="39"/>
        <v/>
      </c>
      <c r="E472" s="84"/>
      <c r="F472" s="122" t="str">
        <f t="shared" si="40"/>
        <v/>
      </c>
      <c r="G472" s="117"/>
      <c r="H472" s="117"/>
      <c r="I472" s="117"/>
      <c r="J472" s="84"/>
      <c r="L472" s="75" t="str">
        <f t="shared" si="41"/>
        <v/>
      </c>
      <c r="M472" s="75" t="str">
        <f t="shared" si="42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8"/>
        <v/>
      </c>
      <c r="D473" s="72" t="str">
        <f t="shared" si="39"/>
        <v/>
      </c>
      <c r="E473" s="84"/>
      <c r="F473" s="122" t="str">
        <f t="shared" si="40"/>
        <v/>
      </c>
      <c r="G473" s="117"/>
      <c r="H473" s="117"/>
      <c r="I473" s="117"/>
      <c r="J473" s="84"/>
      <c r="L473" s="75" t="str">
        <f t="shared" si="41"/>
        <v/>
      </c>
      <c r="M473" s="75" t="str">
        <f t="shared" si="42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8"/>
        <v/>
      </c>
      <c r="D474" s="72" t="str">
        <f t="shared" si="39"/>
        <v/>
      </c>
      <c r="E474" s="84"/>
      <c r="F474" s="122" t="str">
        <f t="shared" si="40"/>
        <v/>
      </c>
      <c r="G474" s="117"/>
      <c r="H474" s="117"/>
      <c r="I474" s="117"/>
      <c r="J474" s="84"/>
      <c r="L474" s="75" t="str">
        <f t="shared" si="41"/>
        <v/>
      </c>
      <c r="M474" s="75" t="str">
        <f t="shared" si="42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8"/>
        <v/>
      </c>
      <c r="D475" s="72" t="str">
        <f t="shared" si="39"/>
        <v/>
      </c>
      <c r="E475" s="84"/>
      <c r="F475" s="122" t="str">
        <f t="shared" si="40"/>
        <v/>
      </c>
      <c r="G475" s="117"/>
      <c r="H475" s="117"/>
      <c r="I475" s="117"/>
      <c r="J475" s="84"/>
      <c r="L475" s="75" t="str">
        <f t="shared" si="41"/>
        <v/>
      </c>
      <c r="M475" s="75" t="str">
        <f t="shared" si="42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8"/>
        <v/>
      </c>
      <c r="D476" s="72" t="str">
        <f t="shared" si="39"/>
        <v/>
      </c>
      <c r="E476" s="84"/>
      <c r="F476" s="122" t="str">
        <f t="shared" si="40"/>
        <v/>
      </c>
      <c r="G476" s="117"/>
      <c r="H476" s="117"/>
      <c r="I476" s="117"/>
      <c r="J476" s="84"/>
      <c r="L476" s="75" t="str">
        <f t="shared" si="41"/>
        <v/>
      </c>
      <c r="M476" s="75" t="str">
        <f t="shared" si="42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8"/>
        <v/>
      </c>
      <c r="D477" s="72" t="str">
        <f t="shared" si="39"/>
        <v/>
      </c>
      <c r="E477" s="84"/>
      <c r="F477" s="122" t="str">
        <f t="shared" si="40"/>
        <v/>
      </c>
      <c r="G477" s="117"/>
      <c r="H477" s="117"/>
      <c r="I477" s="117"/>
      <c r="J477" s="84"/>
      <c r="L477" s="75" t="str">
        <f t="shared" si="41"/>
        <v/>
      </c>
      <c r="M477" s="75" t="str">
        <f t="shared" si="42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8"/>
        <v/>
      </c>
      <c r="D478" s="72" t="str">
        <f t="shared" si="39"/>
        <v/>
      </c>
      <c r="E478" s="84"/>
      <c r="F478" s="122" t="str">
        <f t="shared" si="40"/>
        <v/>
      </c>
      <c r="G478" s="117"/>
      <c r="H478" s="117"/>
      <c r="I478" s="117"/>
      <c r="J478" s="84"/>
      <c r="L478" s="75" t="str">
        <f t="shared" si="41"/>
        <v/>
      </c>
      <c r="M478" s="75" t="str">
        <f t="shared" si="42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8"/>
        <v/>
      </c>
      <c r="D479" s="72" t="str">
        <f t="shared" si="39"/>
        <v/>
      </c>
      <c r="E479" s="84"/>
      <c r="F479" s="122" t="str">
        <f t="shared" si="40"/>
        <v/>
      </c>
      <c r="G479" s="117"/>
      <c r="H479" s="117"/>
      <c r="I479" s="117"/>
      <c r="J479" s="84"/>
      <c r="L479" s="75" t="str">
        <f t="shared" si="41"/>
        <v/>
      </c>
      <c r="M479" s="75" t="str">
        <f t="shared" si="42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8"/>
        <v/>
      </c>
      <c r="D480" s="72" t="str">
        <f t="shared" si="39"/>
        <v/>
      </c>
      <c r="E480" s="84"/>
      <c r="F480" s="122" t="str">
        <f t="shared" si="40"/>
        <v/>
      </c>
      <c r="G480" s="117"/>
      <c r="H480" s="117"/>
      <c r="I480" s="117"/>
      <c r="J480" s="84"/>
      <c r="L480" s="75" t="str">
        <f t="shared" si="41"/>
        <v/>
      </c>
      <c r="M480" s="75" t="str">
        <f t="shared" si="42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8"/>
        <v/>
      </c>
      <c r="D481" s="72" t="str">
        <f t="shared" si="39"/>
        <v/>
      </c>
      <c r="E481" s="84"/>
      <c r="F481" s="122" t="str">
        <f t="shared" si="40"/>
        <v/>
      </c>
      <c r="G481" s="117"/>
      <c r="H481" s="117"/>
      <c r="I481" s="117"/>
      <c r="J481" s="84"/>
      <c r="L481" s="75" t="str">
        <f t="shared" si="41"/>
        <v/>
      </c>
      <c r="M481" s="75" t="str">
        <f t="shared" si="42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8"/>
        <v/>
      </c>
      <c r="D482" s="72" t="str">
        <f t="shared" si="39"/>
        <v/>
      </c>
      <c r="E482" s="84"/>
      <c r="F482" s="122" t="str">
        <f t="shared" si="40"/>
        <v/>
      </c>
      <c r="G482" s="117"/>
      <c r="H482" s="117"/>
      <c r="I482" s="117"/>
      <c r="J482" s="84"/>
      <c r="L482" s="75" t="str">
        <f t="shared" si="41"/>
        <v/>
      </c>
      <c r="M482" s="75" t="str">
        <f t="shared" si="42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8"/>
        <v/>
      </c>
      <c r="D483" s="72" t="str">
        <f t="shared" si="39"/>
        <v/>
      </c>
      <c r="E483" s="84"/>
      <c r="F483" s="122" t="str">
        <f t="shared" si="40"/>
        <v/>
      </c>
      <c r="G483" s="117"/>
      <c r="H483" s="117"/>
      <c r="I483" s="117"/>
      <c r="J483" s="84"/>
      <c r="L483" s="75" t="str">
        <f t="shared" si="41"/>
        <v/>
      </c>
      <c r="M483" s="75" t="str">
        <f t="shared" si="42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8"/>
        <v/>
      </c>
      <c r="D484" s="72" t="str">
        <f t="shared" si="39"/>
        <v/>
      </c>
      <c r="E484" s="84"/>
      <c r="F484" s="122" t="str">
        <f t="shared" si="40"/>
        <v/>
      </c>
      <c r="G484" s="117"/>
      <c r="H484" s="117"/>
      <c r="I484" s="117"/>
      <c r="J484" s="84"/>
      <c r="L484" s="75" t="str">
        <f t="shared" si="41"/>
        <v/>
      </c>
      <c r="M484" s="75" t="str">
        <f t="shared" si="42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8"/>
        <v/>
      </c>
      <c r="D485" s="72" t="str">
        <f t="shared" si="39"/>
        <v/>
      </c>
      <c r="E485" s="84"/>
      <c r="F485" s="122" t="str">
        <f t="shared" si="40"/>
        <v/>
      </c>
      <c r="G485" s="117"/>
      <c r="H485" s="117"/>
      <c r="I485" s="117"/>
      <c r="J485" s="84"/>
      <c r="L485" s="75" t="str">
        <f t="shared" si="41"/>
        <v/>
      </c>
      <c r="M485" s="75" t="str">
        <f t="shared" si="42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8"/>
        <v/>
      </c>
      <c r="D486" s="72" t="str">
        <f t="shared" si="39"/>
        <v/>
      </c>
      <c r="E486" s="84"/>
      <c r="F486" s="122" t="str">
        <f t="shared" si="40"/>
        <v/>
      </c>
      <c r="G486" s="117"/>
      <c r="H486" s="117"/>
      <c r="I486" s="117"/>
      <c r="J486" s="84"/>
      <c r="L486" s="75" t="str">
        <f t="shared" si="41"/>
        <v/>
      </c>
      <c r="M486" s="75" t="str">
        <f t="shared" si="42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8"/>
        <v/>
      </c>
      <c r="D487" s="72" t="str">
        <f t="shared" si="39"/>
        <v/>
      </c>
      <c r="E487" s="84"/>
      <c r="F487" s="122" t="str">
        <f t="shared" si="40"/>
        <v/>
      </c>
      <c r="G487" s="117"/>
      <c r="H487" s="117"/>
      <c r="I487" s="117"/>
      <c r="J487" s="84"/>
      <c r="L487" s="75" t="str">
        <f t="shared" si="41"/>
        <v/>
      </c>
      <c r="M487" s="75" t="str">
        <f t="shared" si="42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8"/>
        <v/>
      </c>
      <c r="D488" s="72" t="str">
        <f t="shared" si="39"/>
        <v/>
      </c>
      <c r="E488" s="84"/>
      <c r="F488" s="122" t="str">
        <f t="shared" si="40"/>
        <v/>
      </c>
      <c r="G488" s="117"/>
      <c r="H488" s="117"/>
      <c r="I488" s="117"/>
      <c r="J488" s="84"/>
      <c r="L488" s="75" t="str">
        <f t="shared" si="41"/>
        <v/>
      </c>
      <c r="M488" s="75" t="str">
        <f t="shared" si="42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8"/>
        <v/>
      </c>
      <c r="D489" s="72" t="str">
        <f t="shared" si="39"/>
        <v/>
      </c>
      <c r="E489" s="84"/>
      <c r="F489" s="122" t="str">
        <f t="shared" si="40"/>
        <v/>
      </c>
      <c r="G489" s="117"/>
      <c r="H489" s="117"/>
      <c r="I489" s="117"/>
      <c r="J489" s="84"/>
      <c r="L489" s="75" t="str">
        <f t="shared" si="41"/>
        <v/>
      </c>
      <c r="M489" s="75" t="str">
        <f t="shared" si="42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8"/>
        <v/>
      </c>
      <c r="D490" s="72" t="str">
        <f t="shared" si="39"/>
        <v/>
      </c>
      <c r="E490" s="84"/>
      <c r="F490" s="122" t="str">
        <f t="shared" si="40"/>
        <v/>
      </c>
      <c r="G490" s="117"/>
      <c r="H490" s="117"/>
      <c r="I490" s="117"/>
      <c r="J490" s="84"/>
      <c r="L490" s="75" t="str">
        <f t="shared" si="41"/>
        <v/>
      </c>
      <c r="M490" s="75" t="str">
        <f t="shared" si="42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8"/>
        <v/>
      </c>
      <c r="D491" s="72" t="str">
        <f t="shared" si="39"/>
        <v/>
      </c>
      <c r="E491" s="84"/>
      <c r="F491" s="122" t="str">
        <f t="shared" si="40"/>
        <v/>
      </c>
      <c r="G491" s="117"/>
      <c r="H491" s="117"/>
      <c r="I491" s="117"/>
      <c r="J491" s="84"/>
      <c r="L491" s="75" t="str">
        <f t="shared" si="41"/>
        <v/>
      </c>
      <c r="M491" s="75" t="str">
        <f t="shared" si="42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8"/>
        <v/>
      </c>
      <c r="D492" s="72" t="str">
        <f t="shared" si="39"/>
        <v/>
      </c>
      <c r="E492" s="84"/>
      <c r="F492" s="122" t="str">
        <f t="shared" si="40"/>
        <v/>
      </c>
      <c r="G492" s="117"/>
      <c r="H492" s="117"/>
      <c r="I492" s="117"/>
      <c r="J492" s="84"/>
      <c r="L492" s="75" t="str">
        <f t="shared" si="41"/>
        <v/>
      </c>
      <c r="M492" s="75" t="str">
        <f t="shared" si="42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8"/>
        <v/>
      </c>
      <c r="D493" s="72" t="str">
        <f t="shared" si="39"/>
        <v/>
      </c>
      <c r="E493" s="84"/>
      <c r="F493" s="122" t="str">
        <f t="shared" si="40"/>
        <v/>
      </c>
      <c r="G493" s="117"/>
      <c r="H493" s="117"/>
      <c r="I493" s="117"/>
      <c r="J493" s="84"/>
      <c r="L493" s="75" t="str">
        <f t="shared" si="41"/>
        <v/>
      </c>
      <c r="M493" s="75" t="str">
        <f t="shared" si="42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8"/>
        <v/>
      </c>
      <c r="D494" s="72" t="str">
        <f t="shared" si="39"/>
        <v/>
      </c>
      <c r="E494" s="84"/>
      <c r="F494" s="122" t="str">
        <f t="shared" si="40"/>
        <v/>
      </c>
      <c r="G494" s="117"/>
      <c r="H494" s="117"/>
      <c r="I494" s="117"/>
      <c r="J494" s="84"/>
      <c r="L494" s="75" t="str">
        <f t="shared" si="41"/>
        <v/>
      </c>
      <c r="M494" s="75" t="str">
        <f t="shared" si="42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8"/>
        <v/>
      </c>
      <c r="D495" s="72" t="str">
        <f t="shared" si="39"/>
        <v/>
      </c>
      <c r="E495" s="84"/>
      <c r="F495" s="122" t="str">
        <f t="shared" si="40"/>
        <v/>
      </c>
      <c r="G495" s="117"/>
      <c r="H495" s="117"/>
      <c r="I495" s="117"/>
      <c r="J495" s="84"/>
      <c r="L495" s="75" t="str">
        <f t="shared" si="41"/>
        <v/>
      </c>
      <c r="M495" s="75" t="str">
        <f t="shared" si="42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8"/>
        <v/>
      </c>
      <c r="D496" s="72" t="str">
        <f t="shared" si="39"/>
        <v/>
      </c>
      <c r="E496" s="84"/>
      <c r="F496" s="122" t="str">
        <f t="shared" si="40"/>
        <v/>
      </c>
      <c r="G496" s="117"/>
      <c r="H496" s="117"/>
      <c r="I496" s="117"/>
      <c r="J496" s="84"/>
      <c r="L496" s="75" t="str">
        <f t="shared" si="41"/>
        <v/>
      </c>
      <c r="M496" s="75" t="str">
        <f t="shared" si="42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8"/>
        <v/>
      </c>
      <c r="D497" s="72" t="str">
        <f t="shared" si="39"/>
        <v/>
      </c>
      <c r="E497" s="84"/>
      <c r="F497" s="122" t="str">
        <f t="shared" si="40"/>
        <v/>
      </c>
      <c r="G497" s="117"/>
      <c r="H497" s="117"/>
      <c r="I497" s="117"/>
      <c r="J497" s="84"/>
      <c r="L497" s="75" t="str">
        <f t="shared" si="41"/>
        <v/>
      </c>
      <c r="M497" s="75" t="str">
        <f t="shared" si="42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8"/>
        <v/>
      </c>
      <c r="D498" s="72" t="str">
        <f t="shared" si="39"/>
        <v/>
      </c>
      <c r="E498" s="84"/>
      <c r="F498" s="122" t="str">
        <f t="shared" si="40"/>
        <v/>
      </c>
      <c r="G498" s="117"/>
      <c r="H498" s="117"/>
      <c r="I498" s="117"/>
      <c r="J498" s="84"/>
      <c r="L498" s="75" t="str">
        <f t="shared" si="41"/>
        <v/>
      </c>
      <c r="M498" s="75" t="str">
        <f t="shared" si="42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8"/>
        <v/>
      </c>
      <c r="D499" s="72" t="str">
        <f t="shared" si="39"/>
        <v/>
      </c>
      <c r="E499" s="84"/>
      <c r="F499" s="122" t="str">
        <f t="shared" si="40"/>
        <v/>
      </c>
      <c r="G499" s="117"/>
      <c r="H499" s="117"/>
      <c r="I499" s="117"/>
      <c r="J499" s="84"/>
      <c r="L499" s="75" t="str">
        <f t="shared" si="41"/>
        <v/>
      </c>
      <c r="M499" s="75" t="str">
        <f t="shared" si="42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8"/>
        <v/>
      </c>
      <c r="D500" s="72" t="str">
        <f t="shared" si="39"/>
        <v/>
      </c>
      <c r="E500" s="84"/>
      <c r="F500" s="122" t="str">
        <f t="shared" si="40"/>
        <v/>
      </c>
      <c r="G500" s="117"/>
      <c r="H500" s="117"/>
      <c r="I500" s="117"/>
      <c r="J500" s="84"/>
      <c r="L500" s="75" t="str">
        <f t="shared" si="41"/>
        <v/>
      </c>
      <c r="M500" s="75" t="str">
        <f t="shared" si="42"/>
        <v/>
      </c>
    </row>
    <row r="501" spans="1:13"/>
    <row r="502" spans="1:13" hidden="1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/>
  </sheetData>
  <sheetProtection selectLockedCells="1"/>
  <autoFilter ref="R4:V120"/>
  <sortState ref="R8:V105">
    <sortCondition ref="R8"/>
  </sortState>
  <dataConsolidate/>
  <mergeCells count="1">
    <mergeCell ref="A1:D1"/>
  </mergeCells>
  <phoneticPr fontId="37" type="noConversion"/>
  <conditionalFormatting sqref="J3:J498">
    <cfRule type="expression" dxfId="1" priority="2">
      <formula>IF(OR(E3=6391,E3=6392,E3=6393,E3=6394),1,0)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0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0">
      <formula1>$R$5:$R$112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91"/>
  <sheetViews>
    <sheetView showGridLines="0" topLeftCell="C1" zoomScale="115" zoomScaleNormal="115" workbookViewId="0">
      <pane ySplit="2" topLeftCell="A6" activePane="bottomLeft" state="frozen"/>
      <selection pane="bottomLeft" activeCell="K25" sqref="K25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6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53" t="s">
        <v>5257</v>
      </c>
      <c r="B1" s="353"/>
      <c r="C1" s="353"/>
      <c r="D1" s="353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 t="shared" ref="D3:D50" si="0">IFERROR(VLOOKUP(C3,$S$7:$T$48,2,FALSE),"")</f>
        <v>Opći prihodi i primici</v>
      </c>
      <c r="E3" s="85">
        <v>3111</v>
      </c>
      <c r="F3" s="80" t="str">
        <f t="shared" ref="F3:F68" si="1">IFERROR(VLOOKUP(E3,$V$5:$X$203,2,FALSE),"")</f>
        <v>Plaće za redovan rad</v>
      </c>
      <c r="G3" s="118" t="s">
        <v>72</v>
      </c>
      <c r="H3" s="80" t="str">
        <f t="shared" ref="H3:H68" si="2">IFERROR(VLOOKUP(G3,$AB$7:$AC$401,2,FALSE),"")</f>
        <v>REDOVNA DJELATNOST VELEUČILIŠTA I VISOKIH ŠKOLA</v>
      </c>
      <c r="I3" s="80" t="str">
        <f t="shared" ref="I3:I68" si="3">IFERROR(VLOOKUP(G3,$AB$7:$AF$401,3,FALSE),"")</f>
        <v>0942</v>
      </c>
      <c r="J3" s="117">
        <v>437190</v>
      </c>
      <c r="K3" s="117">
        <v>960515</v>
      </c>
      <c r="L3" s="117">
        <v>498068.87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si="0"/>
        <v>Opći prihodi i primici</v>
      </c>
      <c r="E4" s="85">
        <v>3121</v>
      </c>
      <c r="F4" s="80" t="str">
        <f t="shared" si="1"/>
        <v>Ostali rashodi za zaposlene</v>
      </c>
      <c r="G4" s="118" t="s">
        <v>72</v>
      </c>
      <c r="H4" s="80" t="str">
        <f t="shared" si="2"/>
        <v>REDOVNA DJELATNOST VELEUČILIŠTA I VISOKIH ŠKOLA</v>
      </c>
      <c r="I4" s="80" t="str">
        <f t="shared" si="3"/>
        <v>0942</v>
      </c>
      <c r="J4" s="117">
        <v>10130</v>
      </c>
      <c r="K4" s="117">
        <v>16714.340603809778</v>
      </c>
      <c r="L4" s="117">
        <v>22795.41</v>
      </c>
      <c r="M4" s="84"/>
      <c r="O4" s="75" t="str">
        <f t="shared" ref="O4:O84" si="4">LEFT(E4,3)</f>
        <v>312</v>
      </c>
      <c r="P4" s="75" t="str">
        <f t="shared" ref="P4:P84" si="5">LEFT(E4,2)</f>
        <v>31</v>
      </c>
      <c r="Q4" s="75" t="str">
        <f t="shared" ref="Q4:Q84" si="6">LEFT(C4,3)</f>
        <v>11</v>
      </c>
      <c r="R4" s="75" t="str">
        <f t="shared" ref="R4:R84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0"/>
        <v>Opći prihodi i primici</v>
      </c>
      <c r="E5" s="85">
        <v>3132</v>
      </c>
      <c r="F5" s="80" t="str">
        <f t="shared" si="1"/>
        <v>Doprinosi za obvezno zdravstveno osiguranje</v>
      </c>
      <c r="G5" s="118" t="s">
        <v>72</v>
      </c>
      <c r="H5" s="80" t="str">
        <f t="shared" si="2"/>
        <v>REDOVNA DJELATNOST VELEUČILIŠTA I VISOKIH ŠKOLA</v>
      </c>
      <c r="I5" s="80" t="str">
        <f t="shared" si="3"/>
        <v>0942</v>
      </c>
      <c r="J5" s="117">
        <v>73674</v>
      </c>
      <c r="K5" s="117">
        <v>158484.97500000001</v>
      </c>
      <c r="L5" s="117">
        <v>83755.709999999992</v>
      </c>
      <c r="M5" s="84"/>
      <c r="O5" s="75" t="str">
        <f t="shared" si="4"/>
        <v>313</v>
      </c>
      <c r="P5" s="75" t="str">
        <f t="shared" si="5"/>
        <v>31</v>
      </c>
      <c r="Q5" s="75" t="str">
        <f t="shared" si="6"/>
        <v>11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ref="D6" si="8">IFERROR(VLOOKUP(C6,$S$7:$T$48,2,FALSE),"")</f>
        <v>Opći prihodi i primici</v>
      </c>
      <c r="E6" s="85">
        <v>3211</v>
      </c>
      <c r="F6" s="80" t="str">
        <f t="shared" si="1"/>
        <v>Službena putovanja</v>
      </c>
      <c r="G6" s="118" t="s">
        <v>72</v>
      </c>
      <c r="H6" s="80" t="str">
        <f t="shared" si="2"/>
        <v>REDOVNA DJELATNOST VELEUČILIŠTA I VISOKIH ŠKOLA</v>
      </c>
      <c r="I6" s="80" t="str">
        <f t="shared" si="3"/>
        <v>0942</v>
      </c>
      <c r="J6" s="117">
        <v>833</v>
      </c>
      <c r="K6" s="117"/>
      <c r="L6" s="117"/>
      <c r="M6" s="84"/>
      <c r="O6" s="75" t="str">
        <f t="shared" ref="O6" si="9">LEFT(E6,3)</f>
        <v>321</v>
      </c>
      <c r="P6" s="75" t="str">
        <f t="shared" ref="P6" si="10">LEFT(E6,2)</f>
        <v>32</v>
      </c>
      <c r="Q6" s="75" t="str">
        <f t="shared" ref="Q6" si="11">LEFT(C6,3)</f>
        <v>11</v>
      </c>
      <c r="R6" s="75" t="str">
        <f t="shared" ref="R6" si="12">MID(I6,2,2)</f>
        <v>94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0"/>
        <v>Opći prihodi i primici</v>
      </c>
      <c r="E7" s="85">
        <v>3212</v>
      </c>
      <c r="F7" s="80" t="str">
        <f t="shared" si="1"/>
        <v>Naknade za prijevoz, za rad na terenu i odvojeni život</v>
      </c>
      <c r="G7" s="118" t="s">
        <v>72</v>
      </c>
      <c r="H7" s="80" t="str">
        <f t="shared" si="2"/>
        <v>REDOVNA DJELATNOST VELEUČILIŠTA I VISOKIH ŠKOLA</v>
      </c>
      <c r="I7" s="80" t="str">
        <f t="shared" si="3"/>
        <v>0942</v>
      </c>
      <c r="J7" s="117">
        <v>7427</v>
      </c>
      <c r="K7" s="117">
        <v>16714.340603809778</v>
      </c>
      <c r="L7" s="117">
        <v>14366.57</v>
      </c>
      <c r="M7" s="84"/>
      <c r="O7" s="75" t="str">
        <f t="shared" si="4"/>
        <v>321</v>
      </c>
      <c r="P7" s="75" t="str">
        <f t="shared" si="5"/>
        <v>32</v>
      </c>
      <c r="Q7" s="75" t="str">
        <f t="shared" si="6"/>
        <v>11</v>
      </c>
      <c r="R7" s="75" t="str">
        <f t="shared" si="7"/>
        <v>94</v>
      </c>
      <c r="S7" s="75">
        <v>11</v>
      </c>
      <c r="T7" s="75" t="s">
        <v>46</v>
      </c>
      <c r="V7" s="75">
        <v>3112</v>
      </c>
      <c r="W7" s="75" t="s">
        <v>146</v>
      </c>
      <c r="Y7" s="290" t="str">
        <f>LEFT(V7,2)</f>
        <v>31</v>
      </c>
      <c r="Z7" s="75" t="str">
        <f>LEFT(V7,3)</f>
        <v>311</v>
      </c>
      <c r="AB7" s="75" t="s">
        <v>1233</v>
      </c>
      <c r="AC7" s="75" t="s">
        <v>1233</v>
      </c>
      <c r="AD7" s="75" t="s">
        <v>1233</v>
      </c>
      <c r="AE7" s="75" t="s">
        <v>1233</v>
      </c>
      <c r="AF7" s="75" t="s">
        <v>1233</v>
      </c>
      <c r="AG7" s="75" t="s">
        <v>1233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ref="D8" si="13">IFERROR(VLOOKUP(C8,$S$7:$T$48,2,FALSE),"")</f>
        <v>Opći prihodi i primici</v>
      </c>
      <c r="E8" s="85">
        <v>4212</v>
      </c>
      <c r="F8" s="80" t="str">
        <f t="shared" si="1"/>
        <v>Poslovni objekti</v>
      </c>
      <c r="G8" s="118" t="s">
        <v>72</v>
      </c>
      <c r="H8" s="80" t="str">
        <f t="shared" si="2"/>
        <v>REDOVNA DJELATNOST VELEUČILIŠTA I VISOKIH ŠKOLA</v>
      </c>
      <c r="I8" s="80" t="str">
        <f t="shared" ref="I8" si="14">IFERROR(VLOOKUP(G8,$AB$7:$AF$401,3,FALSE),"")</f>
        <v>0942</v>
      </c>
      <c r="J8" s="117">
        <v>788910</v>
      </c>
      <c r="K8" s="117"/>
      <c r="L8" s="117"/>
      <c r="M8" s="84"/>
      <c r="O8" s="75" t="str">
        <f t="shared" ref="O8" si="15">LEFT(E8,3)</f>
        <v>421</v>
      </c>
      <c r="P8" s="75" t="str">
        <f t="shared" ref="P8" si="16">LEFT(E8,2)</f>
        <v>42</v>
      </c>
      <c r="Q8" s="75" t="str">
        <f t="shared" ref="Q8" si="17">LEFT(C8,3)</f>
        <v>11</v>
      </c>
      <c r="R8" s="75" t="str">
        <f t="shared" ref="R8" si="18">MID(I8,2,2)</f>
        <v>94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0"/>
        <v>Opći prihodi i primici</v>
      </c>
      <c r="E9" s="85">
        <v>3213</v>
      </c>
      <c r="F9" s="80" t="str">
        <f t="shared" si="1"/>
        <v>Stručno usavršavanje zaposlenika</v>
      </c>
      <c r="G9" s="118" t="s">
        <v>672</v>
      </c>
      <c r="H9" s="80" t="str">
        <f t="shared" si="2"/>
        <v>PROGRAMSKO FINANCIRANJE JAVNIH VISOKIH UČILIŠTA</v>
      </c>
      <c r="I9" s="80" t="str">
        <f t="shared" si="3"/>
        <v>0942</v>
      </c>
      <c r="J9" s="117"/>
      <c r="K9" s="117">
        <v>10333</v>
      </c>
      <c r="L9" s="117"/>
      <c r="M9" s="84"/>
      <c r="O9" s="75" t="str">
        <f t="shared" si="4"/>
        <v>321</v>
      </c>
      <c r="P9" s="75" t="str">
        <f t="shared" si="5"/>
        <v>32</v>
      </c>
      <c r="Q9" s="75" t="str">
        <f t="shared" si="6"/>
        <v>11</v>
      </c>
      <c r="R9" s="75" t="str">
        <f t="shared" si="7"/>
        <v>94</v>
      </c>
      <c r="S9" s="75">
        <v>12</v>
      </c>
      <c r="T9" s="75" t="s">
        <v>232</v>
      </c>
      <c r="V9" s="75">
        <v>3113</v>
      </c>
      <c r="W9" s="75" t="s">
        <v>125</v>
      </c>
      <c r="Y9" s="290" t="str">
        <f>LEFT(V9,2)</f>
        <v>31</v>
      </c>
      <c r="Z9" s="75" t="str">
        <f>LEFT(V9,3)</f>
        <v>311</v>
      </c>
      <c r="AB9" t="s">
        <v>1790</v>
      </c>
      <c r="AC9" t="s">
        <v>1791</v>
      </c>
      <c r="AD9" s="75" t="s">
        <v>5142</v>
      </c>
      <c r="AE9" s="75" t="s">
        <v>5143</v>
      </c>
      <c r="AF9" s="75" t="s">
        <v>5168</v>
      </c>
      <c r="AG9" s="75" t="s">
        <v>5175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ref="D10" si="19">IFERROR(VLOOKUP(C10,$S$7:$T$48,2,FALSE),"")</f>
        <v>Opći prihodi i primici</v>
      </c>
      <c r="E10" s="85">
        <v>3214</v>
      </c>
      <c r="F10" s="80" t="str">
        <f t="shared" si="1"/>
        <v>Ostale naknade troškova zaposlenima</v>
      </c>
      <c r="G10" s="118" t="s">
        <v>672</v>
      </c>
      <c r="H10" s="80" t="str">
        <f t="shared" si="2"/>
        <v>PROGRAMSKO FINANCIRANJE JAVNIH VISOKIH UČILIŠTA</v>
      </c>
      <c r="I10" s="80" t="str">
        <f t="shared" si="3"/>
        <v>0942</v>
      </c>
      <c r="J10" s="117">
        <v>87</v>
      </c>
      <c r="K10" s="117"/>
      <c r="L10" s="117"/>
      <c r="M10" s="84"/>
      <c r="O10" s="75" t="str">
        <f t="shared" ref="O10" si="20">LEFT(E10,3)</f>
        <v>321</v>
      </c>
      <c r="P10" s="75" t="str">
        <f t="shared" ref="P10" si="21">LEFT(E10,2)</f>
        <v>32</v>
      </c>
      <c r="Q10" s="75" t="str">
        <f t="shared" ref="Q10" si="22">LEFT(C10,3)</f>
        <v>11</v>
      </c>
      <c r="R10" s="75" t="str">
        <f t="shared" ref="R10" si="23">MID(I10,2,2)</f>
        <v>94</v>
      </c>
      <c r="AB10"/>
      <c r="AC10"/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0"/>
        <v>Opći prihodi i primici</v>
      </c>
      <c r="E11" s="85">
        <v>3221</v>
      </c>
      <c r="F11" s="80" t="str">
        <f t="shared" si="1"/>
        <v>Uredski materijal i ostali materijalni rashodi</v>
      </c>
      <c r="G11" s="118" t="s">
        <v>672</v>
      </c>
      <c r="H11" s="80" t="str">
        <f t="shared" si="2"/>
        <v>PROGRAMSKO FINANCIRANJE JAVNIH VISOKIH UČILIŠTA</v>
      </c>
      <c r="I11" s="80" t="str">
        <f t="shared" si="3"/>
        <v>0942</v>
      </c>
      <c r="J11" s="117"/>
      <c r="K11" s="117">
        <v>21333</v>
      </c>
      <c r="L11" s="117"/>
      <c r="M11" s="84"/>
      <c r="O11" s="75" t="str">
        <f t="shared" si="4"/>
        <v>322</v>
      </c>
      <c r="P11" s="75" t="str">
        <f t="shared" si="5"/>
        <v>32</v>
      </c>
      <c r="Q11" s="75" t="str">
        <f t="shared" si="6"/>
        <v>11</v>
      </c>
      <c r="R11" s="75" t="str">
        <f t="shared" si="7"/>
        <v>94</v>
      </c>
      <c r="S11" s="75">
        <v>31</v>
      </c>
      <c r="T11" s="75" t="s">
        <v>91</v>
      </c>
      <c r="V11" s="75">
        <v>3114</v>
      </c>
      <c r="W11" s="75" t="s">
        <v>147</v>
      </c>
      <c r="Y11" s="290" t="str">
        <f>LEFT(V11,2)</f>
        <v>31</v>
      </c>
      <c r="Z11" s="75" t="str">
        <f>LEFT(V11,3)</f>
        <v>311</v>
      </c>
      <c r="AB11" t="s">
        <v>1792</v>
      </c>
      <c r="AC11" t="s">
        <v>1793</v>
      </c>
      <c r="AD11" s="75" t="s">
        <v>5144</v>
      </c>
      <c r="AE11" s="75" t="s">
        <v>5145</v>
      </c>
      <c r="AF11" s="75" t="s">
        <v>5170</v>
      </c>
      <c r="AG11" s="75" t="s">
        <v>5171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0"/>
        <v>Opći prihodi i primici</v>
      </c>
      <c r="E12" s="85">
        <v>3223</v>
      </c>
      <c r="F12" s="80" t="str">
        <f t="shared" si="1"/>
        <v>Energija</v>
      </c>
      <c r="G12" s="118" t="s">
        <v>672</v>
      </c>
      <c r="H12" s="80" t="str">
        <f t="shared" si="2"/>
        <v>PROGRAMSKO FINANCIRANJE JAVNIH VISOKIH UČILIŠTA</v>
      </c>
      <c r="I12" s="80" t="str">
        <f t="shared" si="3"/>
        <v>0942</v>
      </c>
      <c r="J12" s="117"/>
      <c r="K12" s="117">
        <v>29200</v>
      </c>
      <c r="L12" s="117"/>
      <c r="M12" s="84"/>
      <c r="O12" s="75" t="str">
        <f t="shared" si="4"/>
        <v>322</v>
      </c>
      <c r="P12" s="75" t="str">
        <f t="shared" si="5"/>
        <v>32</v>
      </c>
      <c r="Q12" s="75" t="str">
        <f t="shared" si="6"/>
        <v>11</v>
      </c>
      <c r="R12" s="75" t="str">
        <f t="shared" si="7"/>
        <v>94</v>
      </c>
      <c r="S12">
        <v>41</v>
      </c>
      <c r="T12" t="s">
        <v>1208</v>
      </c>
      <c r="V12" s="75">
        <v>3121</v>
      </c>
      <c r="W12" s="75" t="s">
        <v>50</v>
      </c>
      <c r="Y12" s="290" t="str">
        <f>LEFT(V12,2)</f>
        <v>31</v>
      </c>
      <c r="Z12" s="75" t="str">
        <f>LEFT(V12,3)</f>
        <v>312</v>
      </c>
      <c r="AB12" t="s">
        <v>1794</v>
      </c>
      <c r="AC12" t="s">
        <v>1795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0"/>
        <v>Opći prihodi i primici</v>
      </c>
      <c r="E13" s="85">
        <v>3232</v>
      </c>
      <c r="F13" s="80" t="str">
        <f t="shared" si="1"/>
        <v>Usluge tekućeg i investicijskog održavanja</v>
      </c>
      <c r="G13" s="118" t="s">
        <v>672</v>
      </c>
      <c r="H13" s="80" t="str">
        <f t="shared" si="2"/>
        <v>PROGRAMSKO FINANCIRANJE JAVNIH VISOKIH UČILIŠTA</v>
      </c>
      <c r="I13" s="80" t="str">
        <f t="shared" si="3"/>
        <v>0942</v>
      </c>
      <c r="J13" s="117"/>
      <c r="K13" s="117">
        <v>5333</v>
      </c>
      <c r="L13" s="117"/>
      <c r="M13" s="84"/>
      <c r="O13" s="75" t="str">
        <f t="shared" si="4"/>
        <v>323</v>
      </c>
      <c r="P13" s="75" t="str">
        <f t="shared" si="5"/>
        <v>32</v>
      </c>
      <c r="Q13" s="75" t="str">
        <f t="shared" si="6"/>
        <v>11</v>
      </c>
      <c r="R13" s="75" t="str">
        <f t="shared" si="7"/>
        <v>94</v>
      </c>
      <c r="S13" s="75">
        <v>43</v>
      </c>
      <c r="T13" s="75" t="s">
        <v>96</v>
      </c>
      <c r="V13" s="125">
        <v>3132</v>
      </c>
      <c r="W13" s="125" t="s">
        <v>51</v>
      </c>
      <c r="X13" s="125"/>
      <c r="Y13" s="290" t="str">
        <f t="shared" ref="Y13:Y69" si="24">LEFT(V13,2)</f>
        <v>31</v>
      </c>
      <c r="Z13" s="125" t="str">
        <f t="shared" ref="Z13:Z69" si="25">LEFT(V13,3)</f>
        <v>313</v>
      </c>
      <c r="AB13" t="s">
        <v>1617</v>
      </c>
      <c r="AC13" t="s">
        <v>1618</v>
      </c>
      <c r="AD13" s="75" t="s">
        <v>5146</v>
      </c>
      <c r="AE13" s="75" t="s">
        <v>5147</v>
      </c>
      <c r="AF13" s="75" t="s">
        <v>5168</v>
      </c>
      <c r="AG13" s="75" t="s">
        <v>5178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0"/>
        <v>Opći prihodi i primici</v>
      </c>
      <c r="E14" s="85">
        <v>3233</v>
      </c>
      <c r="F14" s="80" t="str">
        <f t="shared" si="1"/>
        <v>Usluge promidžbe i informiranja</v>
      </c>
      <c r="G14" s="118" t="s">
        <v>672</v>
      </c>
      <c r="H14" s="80" t="str">
        <f t="shared" si="2"/>
        <v>PROGRAMSKO FINANCIRANJE JAVNIH VISOKIH UČILIŠTA</v>
      </c>
      <c r="I14" s="80" t="str">
        <f t="shared" si="3"/>
        <v>0942</v>
      </c>
      <c r="J14" s="117">
        <v>2206</v>
      </c>
      <c r="K14" s="117">
        <v>17685</v>
      </c>
      <c r="L14" s="117"/>
      <c r="M14" s="84"/>
      <c r="O14" s="75" t="str">
        <f t="shared" si="4"/>
        <v>323</v>
      </c>
      <c r="P14" s="75" t="str">
        <f t="shared" si="5"/>
        <v>32</v>
      </c>
      <c r="Q14" s="75" t="str">
        <f t="shared" si="6"/>
        <v>11</v>
      </c>
      <c r="R14" s="75" t="str">
        <f t="shared" si="7"/>
        <v>94</v>
      </c>
      <c r="S14" s="75">
        <v>51</v>
      </c>
      <c r="T14" s="75" t="s">
        <v>86</v>
      </c>
      <c r="V14" s="75">
        <v>3211</v>
      </c>
      <c r="W14" s="75" t="s">
        <v>78</v>
      </c>
      <c r="Y14" s="290" t="str">
        <f t="shared" si="24"/>
        <v>32</v>
      </c>
      <c r="Z14" s="75" t="str">
        <f t="shared" si="25"/>
        <v>321</v>
      </c>
      <c r="AB14" t="s">
        <v>1617</v>
      </c>
      <c r="AC14" t="s">
        <v>1618</v>
      </c>
      <c r="AD14" s="75" t="s">
        <v>5148</v>
      </c>
      <c r="AE14" s="75" t="s">
        <v>5149</v>
      </c>
      <c r="AF14" s="75" t="s">
        <v>5168</v>
      </c>
      <c r="AG14" s="75" t="s">
        <v>5177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ref="D15" si="26">IFERROR(VLOOKUP(C15,$S$7:$T$48,2,FALSE),"")</f>
        <v>Opći prihodi i primici</v>
      </c>
      <c r="E15" s="85">
        <v>3234</v>
      </c>
      <c r="F15" s="80" t="str">
        <f t="shared" si="1"/>
        <v>Komunalne usluge</v>
      </c>
      <c r="G15" s="118" t="s">
        <v>672</v>
      </c>
      <c r="H15" s="80" t="str">
        <f t="shared" si="2"/>
        <v>PROGRAMSKO FINANCIRANJE JAVNIH VISOKIH UČILIŠTA</v>
      </c>
      <c r="I15" s="80" t="str">
        <f t="shared" si="3"/>
        <v>0942</v>
      </c>
      <c r="J15" s="117">
        <v>103</v>
      </c>
      <c r="K15" s="117"/>
      <c r="L15" s="117"/>
      <c r="M15" s="84"/>
      <c r="O15" s="75" t="str">
        <f t="shared" ref="O15" si="27">LEFT(E15,3)</f>
        <v>323</v>
      </c>
      <c r="P15" s="75" t="str">
        <f t="shared" ref="P15" si="28">LEFT(E15,2)</f>
        <v>32</v>
      </c>
      <c r="Q15" s="75" t="str">
        <f t="shared" ref="Q15" si="29">LEFT(C15,3)</f>
        <v>11</v>
      </c>
      <c r="R15" s="75" t="str">
        <f t="shared" ref="R15" si="30">MID(I15,2,2)</f>
        <v>94</v>
      </c>
      <c r="AB15"/>
      <c r="AC15"/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0"/>
        <v>Opći prihodi i primici</v>
      </c>
      <c r="E16" s="85">
        <v>3235</v>
      </c>
      <c r="F16" s="80" t="str">
        <f t="shared" si="1"/>
        <v>Zakupnine i najamnine</v>
      </c>
      <c r="G16" s="118" t="s">
        <v>672</v>
      </c>
      <c r="H16" s="80" t="str">
        <f t="shared" si="2"/>
        <v>PROGRAMSKO FINANCIRANJE JAVNIH VISOKIH UČILIŠTA</v>
      </c>
      <c r="I16" s="80" t="str">
        <f t="shared" si="3"/>
        <v>0942</v>
      </c>
      <c r="J16" s="117">
        <v>1035</v>
      </c>
      <c r="K16" s="117">
        <v>18342.144653265408</v>
      </c>
      <c r="L16" s="117"/>
      <c r="M16" s="84"/>
      <c r="O16" s="75" t="str">
        <f t="shared" si="4"/>
        <v>323</v>
      </c>
      <c r="P16" s="75" t="str">
        <f t="shared" si="5"/>
        <v>32</v>
      </c>
      <c r="Q16" s="75" t="str">
        <f t="shared" si="6"/>
        <v>11</v>
      </c>
      <c r="R16" s="75" t="str">
        <f t="shared" si="7"/>
        <v>94</v>
      </c>
      <c r="S16" s="75">
        <v>52</v>
      </c>
      <c r="T16" s="75" t="s">
        <v>109</v>
      </c>
      <c r="V16" s="75">
        <v>3212</v>
      </c>
      <c r="W16" s="75" t="s">
        <v>52</v>
      </c>
      <c r="Y16" s="290" t="str">
        <f t="shared" si="24"/>
        <v>32</v>
      </c>
      <c r="Z16" s="75" t="str">
        <f t="shared" si="25"/>
        <v>321</v>
      </c>
      <c r="AB16" t="s">
        <v>1619</v>
      </c>
      <c r="AC16" t="s">
        <v>1620</v>
      </c>
      <c r="AD16" s="75" t="s">
        <v>5146</v>
      </c>
      <c r="AE16" s="75" t="s">
        <v>5147</v>
      </c>
      <c r="AF16" s="75" t="s">
        <v>5168</v>
      </c>
      <c r="AG16" s="75" t="s">
        <v>5178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0"/>
        <v>Opći prihodi i primici</v>
      </c>
      <c r="E17" s="85">
        <v>3237</v>
      </c>
      <c r="F17" s="80" t="str">
        <f t="shared" si="1"/>
        <v>Intelektualne i osobne usluge</v>
      </c>
      <c r="G17" s="118" t="s">
        <v>672</v>
      </c>
      <c r="H17" s="80" t="str">
        <f t="shared" si="2"/>
        <v>PROGRAMSKO FINANCIRANJE JAVNIH VISOKIH UČILIŠTA</v>
      </c>
      <c r="I17" s="80" t="str">
        <f t="shared" si="3"/>
        <v>0942</v>
      </c>
      <c r="J17" s="117"/>
      <c r="K17" s="117">
        <v>20670</v>
      </c>
      <c r="L17" s="117"/>
      <c r="M17" s="84"/>
      <c r="O17" s="75" t="str">
        <f t="shared" si="4"/>
        <v>323</v>
      </c>
      <c r="P17" s="75" t="str">
        <f t="shared" si="5"/>
        <v>32</v>
      </c>
      <c r="Q17" s="75" t="str">
        <f t="shared" si="6"/>
        <v>11</v>
      </c>
      <c r="R17" s="75" t="str">
        <f t="shared" si="7"/>
        <v>94</v>
      </c>
      <c r="S17">
        <v>552</v>
      </c>
      <c r="T17" t="s">
        <v>1209</v>
      </c>
      <c r="V17" s="75">
        <v>3213</v>
      </c>
      <c r="W17" s="75" t="s">
        <v>97</v>
      </c>
      <c r="Y17" s="290" t="str">
        <f t="shared" si="24"/>
        <v>32</v>
      </c>
      <c r="Z17" s="75" t="str">
        <f t="shared" si="25"/>
        <v>321</v>
      </c>
      <c r="AB17" t="s">
        <v>1796</v>
      </c>
      <c r="AC17" t="s">
        <v>1797</v>
      </c>
      <c r="AD17" s="75" t="s">
        <v>5146</v>
      </c>
      <c r="AE17" s="75" t="s">
        <v>5147</v>
      </c>
      <c r="AF17" s="75" t="s">
        <v>5168</v>
      </c>
      <c r="AG17" s="75" t="s">
        <v>5178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ref="D18" si="31">IFERROR(VLOOKUP(C18,$S$7:$T$48,2,FALSE),"")</f>
        <v>Opći prihodi i primici</v>
      </c>
      <c r="E18" s="85">
        <v>3238</v>
      </c>
      <c r="F18" s="80" t="str">
        <f t="shared" si="1"/>
        <v>Računalne usluge</v>
      </c>
      <c r="G18" s="118" t="s">
        <v>672</v>
      </c>
      <c r="H18" s="80" t="str">
        <f t="shared" si="2"/>
        <v>PROGRAMSKO FINANCIRANJE JAVNIH VISOKIH UČILIŠTA</v>
      </c>
      <c r="I18" s="80" t="str">
        <f t="shared" si="3"/>
        <v>0942</v>
      </c>
      <c r="J18" s="117">
        <v>113</v>
      </c>
      <c r="K18" s="117"/>
      <c r="L18" s="117"/>
      <c r="M18" s="84"/>
      <c r="O18" s="75" t="str">
        <f t="shared" ref="O18:O20" si="32">LEFT(E18,3)</f>
        <v>323</v>
      </c>
      <c r="P18" s="75" t="str">
        <f t="shared" ref="P18:P20" si="33">LEFT(E18,2)</f>
        <v>32</v>
      </c>
      <c r="Q18" s="75" t="str">
        <f t="shared" ref="Q18:Q20" si="34">LEFT(C18,3)</f>
        <v>11</v>
      </c>
      <c r="R18" s="75" t="str">
        <f t="shared" ref="R18:R20" si="35">MID(I18,2,2)</f>
        <v>94</v>
      </c>
      <c r="S18"/>
      <c r="T18"/>
      <c r="AB18"/>
      <c r="AC18"/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ref="D19" si="36">IFERROR(VLOOKUP(C19,$S$7:$T$48,2,FALSE),"")</f>
        <v>Opći prihodi i primici</v>
      </c>
      <c r="E19" s="85">
        <v>3293</v>
      </c>
      <c r="F19" s="80" t="str">
        <f t="shared" si="1"/>
        <v>Reprezentacija</v>
      </c>
      <c r="G19" s="118" t="s">
        <v>672</v>
      </c>
      <c r="H19" s="80" t="str">
        <f t="shared" si="2"/>
        <v>PROGRAMSKO FINANCIRANJE JAVNIH VISOKIH UČILIŠTA</v>
      </c>
      <c r="I19" s="80" t="str">
        <f t="shared" si="3"/>
        <v>0942</v>
      </c>
      <c r="J19" s="117">
        <v>56</v>
      </c>
      <c r="K19" s="117"/>
      <c r="L19" s="117"/>
      <c r="M19" s="84"/>
      <c r="O19" s="75" t="str">
        <f t="shared" si="32"/>
        <v>329</v>
      </c>
      <c r="P19" s="75" t="str">
        <f t="shared" si="33"/>
        <v>32</v>
      </c>
      <c r="Q19" s="75" t="str">
        <f t="shared" si="34"/>
        <v>11</v>
      </c>
      <c r="R19" s="75" t="str">
        <f t="shared" si="35"/>
        <v>94</v>
      </c>
      <c r="S19"/>
      <c r="T19"/>
      <c r="AB19"/>
      <c r="AC19"/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ref="D20" si="37">IFERROR(VLOOKUP(C20,$S$7:$T$48,2,FALSE),"")</f>
        <v>Opći prihodi i primici</v>
      </c>
      <c r="E20" s="85">
        <v>3294</v>
      </c>
      <c r="F20" s="80" t="str">
        <f t="shared" si="1"/>
        <v>Članarine i norme</v>
      </c>
      <c r="G20" s="118" t="s">
        <v>672</v>
      </c>
      <c r="H20" s="80" t="str">
        <f t="shared" si="2"/>
        <v>PROGRAMSKO FINANCIRANJE JAVNIH VISOKIH UČILIŠTA</v>
      </c>
      <c r="I20" s="80" t="str">
        <f t="shared" si="3"/>
        <v>0942</v>
      </c>
      <c r="J20" s="117">
        <v>58</v>
      </c>
      <c r="K20" s="117"/>
      <c r="L20" s="117"/>
      <c r="M20" s="84"/>
      <c r="O20" s="75" t="str">
        <f t="shared" si="32"/>
        <v>329</v>
      </c>
      <c r="P20" s="75" t="str">
        <f t="shared" si="33"/>
        <v>32</v>
      </c>
      <c r="Q20" s="75" t="str">
        <f t="shared" si="34"/>
        <v>11</v>
      </c>
      <c r="R20" s="75" t="str">
        <f t="shared" si="35"/>
        <v>94</v>
      </c>
      <c r="S20"/>
      <c r="T20"/>
      <c r="AB20"/>
      <c r="AC20"/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ref="D21" si="38">IFERROR(VLOOKUP(C21,$S$7:$T$48,2,FALSE),"")</f>
        <v>Opći prihodi i primici</v>
      </c>
      <c r="E21" s="85">
        <v>3295</v>
      </c>
      <c r="F21" s="80" t="str">
        <f t="shared" si="1"/>
        <v>Pristojbe i naknade</v>
      </c>
      <c r="G21" s="118" t="s">
        <v>672</v>
      </c>
      <c r="H21" s="80" t="str">
        <f t="shared" si="2"/>
        <v>PROGRAMSKO FINANCIRANJE JAVNIH VISOKIH UČILIŠTA</v>
      </c>
      <c r="I21" s="80" t="str">
        <f t="shared" si="3"/>
        <v>0942</v>
      </c>
      <c r="J21" s="117">
        <v>611</v>
      </c>
      <c r="K21" s="117"/>
      <c r="L21" s="117"/>
      <c r="M21" s="84"/>
      <c r="O21" s="75" t="str">
        <f t="shared" ref="O21" si="39">LEFT(E21,3)</f>
        <v>329</v>
      </c>
      <c r="P21" s="75" t="str">
        <f t="shared" ref="P21" si="40">LEFT(E21,2)</f>
        <v>32</v>
      </c>
      <c r="Q21" s="75" t="str">
        <f t="shared" ref="Q21" si="41">LEFT(C21,3)</f>
        <v>11</v>
      </c>
      <c r="R21" s="75" t="str">
        <f t="shared" ref="R21" si="42">MID(I21,2,2)</f>
        <v>94</v>
      </c>
      <c r="S21"/>
      <c r="T21"/>
      <c r="AB21"/>
      <c r="AC21"/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0"/>
        <v>Opći prihodi i primici</v>
      </c>
      <c r="E22" s="85">
        <v>3299</v>
      </c>
      <c r="F22" s="80" t="str">
        <f t="shared" si="1"/>
        <v>Ostali nespomenuti rashodi poslovanja</v>
      </c>
      <c r="G22" s="118" t="s">
        <v>672</v>
      </c>
      <c r="H22" s="80" t="str">
        <f t="shared" si="2"/>
        <v>PROGRAMSKO FINANCIRANJE JAVNIH VISOKIH UČILIŠTA</v>
      </c>
      <c r="I22" s="80" t="str">
        <f t="shared" si="3"/>
        <v>0942</v>
      </c>
      <c r="J22" s="117"/>
      <c r="K22" s="117">
        <v>4000</v>
      </c>
      <c r="L22" s="117"/>
      <c r="M22" s="84"/>
      <c r="O22" s="75" t="str">
        <f t="shared" si="4"/>
        <v>329</v>
      </c>
      <c r="P22" s="75" t="str">
        <f t="shared" si="5"/>
        <v>32</v>
      </c>
      <c r="Q22" s="75" t="str">
        <f t="shared" si="6"/>
        <v>11</v>
      </c>
      <c r="R22" s="75" t="str">
        <f t="shared" si="7"/>
        <v>94</v>
      </c>
      <c r="S22">
        <v>559</v>
      </c>
      <c r="T22" t="s">
        <v>1210</v>
      </c>
      <c r="V22" s="75">
        <v>3214</v>
      </c>
      <c r="W22" s="75" t="s">
        <v>126</v>
      </c>
      <c r="Y22" s="290" t="str">
        <f t="shared" si="24"/>
        <v>32</v>
      </c>
      <c r="Z22" s="75" t="str">
        <f t="shared" si="25"/>
        <v>321</v>
      </c>
      <c r="AB22" t="s">
        <v>1798</v>
      </c>
      <c r="AC22" t="s">
        <v>1799</v>
      </c>
      <c r="AD22" s="75" t="s">
        <v>5150</v>
      </c>
      <c r="AE22" s="75" t="s">
        <v>5151</v>
      </c>
      <c r="AF22" s="75" t="s">
        <v>5168</v>
      </c>
      <c r="AG22" s="75" t="s">
        <v>5176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0"/>
        <v>Opći prihodi i primici</v>
      </c>
      <c r="E23" s="85">
        <v>3721</v>
      </c>
      <c r="F23" s="80" t="str">
        <f t="shared" si="1"/>
        <v>Naknade građanima i kućanstvima u novcu</v>
      </c>
      <c r="G23" s="118" t="s">
        <v>672</v>
      </c>
      <c r="H23" s="80" t="str">
        <f t="shared" si="2"/>
        <v>PROGRAMSKO FINANCIRANJE JAVNIH VISOKIH UČILIŠTA</v>
      </c>
      <c r="I23" s="80" t="str">
        <f t="shared" si="3"/>
        <v>0942</v>
      </c>
      <c r="J23" s="117">
        <v>170</v>
      </c>
      <c r="K23" s="117">
        <v>8787.0866882154078</v>
      </c>
      <c r="L23" s="117"/>
      <c r="M23" s="84"/>
      <c r="O23" s="75" t="str">
        <f t="shared" si="4"/>
        <v>372</v>
      </c>
      <c r="P23" s="75" t="str">
        <f t="shared" si="5"/>
        <v>37</v>
      </c>
      <c r="Q23" s="75" t="str">
        <f t="shared" si="6"/>
        <v>11</v>
      </c>
      <c r="R23" s="75" t="str">
        <f t="shared" si="7"/>
        <v>94</v>
      </c>
      <c r="S23" s="75">
        <v>561</v>
      </c>
      <c r="T23" s="75" t="s">
        <v>111</v>
      </c>
      <c r="V23" s="75">
        <v>3221</v>
      </c>
      <c r="W23" s="75" t="s">
        <v>79</v>
      </c>
      <c r="Y23" s="290" t="str">
        <f t="shared" si="24"/>
        <v>32</v>
      </c>
      <c r="Z23" s="75" t="str">
        <f t="shared" si="25"/>
        <v>322</v>
      </c>
      <c r="AB23" t="s">
        <v>1800</v>
      </c>
      <c r="AC23" t="s">
        <v>1801</v>
      </c>
      <c r="AD23" s="75" t="s">
        <v>5142</v>
      </c>
      <c r="AE23" s="75" t="s">
        <v>5143</v>
      </c>
      <c r="AF23" s="75" t="s">
        <v>5168</v>
      </c>
      <c r="AG23" s="75" t="s">
        <v>5175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0"/>
        <v>Opći prihodi i primici</v>
      </c>
      <c r="E24" s="85">
        <v>3811</v>
      </c>
      <c r="F24" s="80" t="str">
        <f t="shared" si="1"/>
        <v>Tekuće donacije u novcu</v>
      </c>
      <c r="G24" s="118" t="s">
        <v>672</v>
      </c>
      <c r="H24" s="80" t="str">
        <f t="shared" si="2"/>
        <v>PROGRAMSKO FINANCIRANJE JAVNIH VISOKIH UČILIŠTA</v>
      </c>
      <c r="I24" s="80" t="str">
        <f t="shared" si="3"/>
        <v>0942</v>
      </c>
      <c r="J24" s="117"/>
      <c r="K24" s="117">
        <v>7086.3053685182422</v>
      </c>
      <c r="L24" s="117"/>
      <c r="M24" s="84"/>
      <c r="O24" s="75" t="str">
        <f t="shared" si="4"/>
        <v>381</v>
      </c>
      <c r="P24" s="75" t="str">
        <f t="shared" si="5"/>
        <v>38</v>
      </c>
      <c r="Q24" s="75" t="str">
        <f t="shared" si="6"/>
        <v>11</v>
      </c>
      <c r="R24" s="75" t="str">
        <f t="shared" si="7"/>
        <v>94</v>
      </c>
      <c r="S24" s="75">
        <v>563</v>
      </c>
      <c r="T24" s="75" t="s">
        <v>113</v>
      </c>
      <c r="V24" s="75">
        <v>3222</v>
      </c>
      <c r="W24" s="75" t="s">
        <v>100</v>
      </c>
      <c r="Y24" s="290" t="str">
        <f t="shared" si="24"/>
        <v>32</v>
      </c>
      <c r="Z24" s="75" t="str">
        <f t="shared" si="25"/>
        <v>322</v>
      </c>
      <c r="AB24" t="s">
        <v>944</v>
      </c>
      <c r="AC24" t="s">
        <v>945</v>
      </c>
      <c r="AD24" s="75" t="s">
        <v>5152</v>
      </c>
      <c r="AE24" s="75" t="s">
        <v>5153</v>
      </c>
      <c r="AF24" s="75" t="s">
        <v>5169</v>
      </c>
      <c r="AG24" s="75" t="s">
        <v>5174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0"/>
        <v>Opći prihodi i primici</v>
      </c>
      <c r="E25" s="85">
        <v>4221</v>
      </c>
      <c r="F25" s="80" t="str">
        <f t="shared" si="1"/>
        <v>Uredska oprema i namještaj</v>
      </c>
      <c r="G25" s="118" t="s">
        <v>672</v>
      </c>
      <c r="H25" s="80" t="str">
        <f t="shared" si="2"/>
        <v>PROGRAMSKO FINANCIRANJE JAVNIH VISOKIH UČILIŠTA</v>
      </c>
      <c r="I25" s="80" t="str">
        <f t="shared" si="3"/>
        <v>0942</v>
      </c>
      <c r="J25" s="117"/>
      <c r="K25" s="117">
        <v>197421</v>
      </c>
      <c r="L25" s="117"/>
      <c r="M25" s="84"/>
      <c r="O25" s="75" t="str">
        <f t="shared" si="4"/>
        <v>422</v>
      </c>
      <c r="P25" s="75" t="str">
        <f t="shared" si="5"/>
        <v>42</v>
      </c>
      <c r="Q25" s="75" t="str">
        <f t="shared" si="6"/>
        <v>11</v>
      </c>
      <c r="R25" s="75" t="str">
        <f t="shared" si="7"/>
        <v>94</v>
      </c>
      <c r="S25" s="75">
        <v>573</v>
      </c>
      <c r="T25" t="s">
        <v>1220</v>
      </c>
      <c r="V25" s="75">
        <v>3223</v>
      </c>
      <c r="W25" s="75" t="s">
        <v>88</v>
      </c>
      <c r="Y25" s="290" t="str">
        <f t="shared" si="24"/>
        <v>32</v>
      </c>
      <c r="Z25" s="75" t="str">
        <f t="shared" si="25"/>
        <v>322</v>
      </c>
      <c r="AB25" t="s">
        <v>1621</v>
      </c>
      <c r="AC25" t="s">
        <v>1622</v>
      </c>
      <c r="AD25" s="75" t="s">
        <v>5146</v>
      </c>
      <c r="AE25" s="75" t="s">
        <v>5147</v>
      </c>
      <c r="AF25" s="75" t="s">
        <v>5168</v>
      </c>
      <c r="AG25" s="75" t="s">
        <v>5178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ref="D26" si="43">IFERROR(VLOOKUP(C26,$S$7:$T$48,2,FALSE),"")</f>
        <v>Opći prihodi i primici</v>
      </c>
      <c r="E26" s="85">
        <v>4222</v>
      </c>
      <c r="F26" s="80" t="str">
        <f t="shared" si="1"/>
        <v>Komunikacijska oprema</v>
      </c>
      <c r="G26" s="118" t="s">
        <v>672</v>
      </c>
      <c r="H26" s="80" t="str">
        <f t="shared" si="2"/>
        <v>PROGRAMSKO FINANCIRANJE JAVNIH VISOKIH UČILIŠTA</v>
      </c>
      <c r="I26" s="80" t="str">
        <f t="shared" si="3"/>
        <v>0942</v>
      </c>
      <c r="J26" s="117">
        <v>1778</v>
      </c>
      <c r="K26" s="117"/>
      <c r="L26" s="117"/>
      <c r="M26" s="84"/>
      <c r="O26" s="75" t="str">
        <f t="shared" ref="O26" si="44">LEFT(E26,3)</f>
        <v>422</v>
      </c>
      <c r="P26" s="75" t="str">
        <f t="shared" ref="P26" si="45">LEFT(E26,2)</f>
        <v>42</v>
      </c>
      <c r="Q26" s="75" t="str">
        <f t="shared" ref="Q26" si="46">LEFT(C26,3)</f>
        <v>11</v>
      </c>
      <c r="R26" s="75" t="str">
        <f t="shared" ref="R26" si="47">MID(I26,2,2)</f>
        <v>94</v>
      </c>
      <c r="T26"/>
      <c r="AB26"/>
      <c r="AC26"/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ref="D27" si="48">IFERROR(VLOOKUP(C27,$S$7:$T$48,2,FALSE),"")</f>
        <v>Opći prihodi i primici</v>
      </c>
      <c r="E27" s="85">
        <v>4225</v>
      </c>
      <c r="F27" s="80" t="str">
        <f t="shared" si="1"/>
        <v>Instrumenti, uređaji i strojevi</v>
      </c>
      <c r="G27" s="118" t="s">
        <v>672</v>
      </c>
      <c r="H27" s="80" t="str">
        <f t="shared" si="2"/>
        <v>PROGRAMSKO FINANCIRANJE JAVNIH VISOKIH UČILIŠTA</v>
      </c>
      <c r="I27" s="80" t="str">
        <f t="shared" ref="I27" si="49">IFERROR(VLOOKUP(G27,$AB$7:$AF$401,3,FALSE),"")</f>
        <v>0942</v>
      </c>
      <c r="J27" s="117">
        <v>438</v>
      </c>
      <c r="K27" s="117"/>
      <c r="L27" s="117"/>
      <c r="M27" s="84"/>
      <c r="O27" s="75" t="str">
        <f t="shared" ref="O27" si="50">LEFT(E27,3)</f>
        <v>422</v>
      </c>
      <c r="P27" s="75" t="str">
        <f t="shared" ref="P27" si="51">LEFT(E27,2)</f>
        <v>42</v>
      </c>
      <c r="Q27" s="75" t="str">
        <f t="shared" ref="Q27" si="52">LEFT(C27,3)</f>
        <v>11</v>
      </c>
      <c r="R27" s="75" t="str">
        <f t="shared" ref="R27" si="53">MID(I27,2,2)</f>
        <v>94</v>
      </c>
      <c r="T27"/>
      <c r="AB27"/>
      <c r="AC27"/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0"/>
        <v>Opći prihodi i primici</v>
      </c>
      <c r="E28" s="85">
        <v>4241</v>
      </c>
      <c r="F28" s="80" t="str">
        <f t="shared" si="1"/>
        <v>Knjige</v>
      </c>
      <c r="G28" s="118" t="s">
        <v>672</v>
      </c>
      <c r="H28" s="80" t="str">
        <f t="shared" si="2"/>
        <v>PROGRAMSKO FINANCIRANJE JAVNIH VISOKIH UČILIŠTA</v>
      </c>
      <c r="I28" s="80" t="str">
        <f t="shared" si="3"/>
        <v>0942</v>
      </c>
      <c r="J28" s="117"/>
      <c r="K28" s="117">
        <v>4667</v>
      </c>
      <c r="L28" s="117"/>
      <c r="M28" s="84"/>
      <c r="O28" s="75" t="str">
        <f t="shared" si="4"/>
        <v>424</v>
      </c>
      <c r="P28" s="75" t="str">
        <f t="shared" si="5"/>
        <v>42</v>
      </c>
      <c r="Q28" s="75" t="str">
        <f t="shared" si="6"/>
        <v>11</v>
      </c>
      <c r="R28" s="75" t="str">
        <f t="shared" si="7"/>
        <v>94</v>
      </c>
      <c r="S28">
        <v>575</v>
      </c>
      <c r="T28" t="s">
        <v>1222</v>
      </c>
      <c r="V28" s="75">
        <v>3224</v>
      </c>
      <c r="W28" s="75" t="s">
        <v>93</v>
      </c>
      <c r="Y28" s="290" t="str">
        <f t="shared" si="24"/>
        <v>32</v>
      </c>
      <c r="Z28" s="75" t="str">
        <f t="shared" si="25"/>
        <v>322</v>
      </c>
      <c r="AB28" t="s">
        <v>946</v>
      </c>
      <c r="AC28" t="s">
        <v>947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31</v>
      </c>
      <c r="D29" s="80" t="str">
        <f t="shared" si="0"/>
        <v>Vlastiti prihodi</v>
      </c>
      <c r="E29" s="85">
        <v>3121</v>
      </c>
      <c r="F29" s="80" t="str">
        <f t="shared" si="1"/>
        <v>Ostali rashodi za zaposlene</v>
      </c>
      <c r="G29" s="118" t="s">
        <v>187</v>
      </c>
      <c r="H29" s="80" t="str">
        <f t="shared" si="2"/>
        <v>REDOVNA DJELATNOST VELEUČILIŠTA I VISOKIH ŠKOLA (IZ EVIDENCIJSKIH PRIHODA)</v>
      </c>
      <c r="I29" s="80" t="str">
        <f t="shared" si="3"/>
        <v>0942</v>
      </c>
      <c r="J29" s="117">
        <v>331.81</v>
      </c>
      <c r="K29" s="117"/>
      <c r="L29" s="117"/>
      <c r="M29" s="84"/>
      <c r="O29" s="75" t="str">
        <f t="shared" ref="O29:O31" si="54">LEFT(E29,3)</f>
        <v>312</v>
      </c>
      <c r="P29" s="75" t="str">
        <f t="shared" ref="P29:P31" si="55">LEFT(E29,2)</f>
        <v>31</v>
      </c>
      <c r="Q29" s="75" t="str">
        <f t="shared" ref="Q29:Q31" si="56">LEFT(C29,3)</f>
        <v>31</v>
      </c>
      <c r="R29" s="75" t="str">
        <f t="shared" ref="R29:R31" si="57">MID(I29,2,2)</f>
        <v>94</v>
      </c>
      <c r="S29"/>
      <c r="T29"/>
      <c r="AB29"/>
      <c r="AC29"/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31</v>
      </c>
      <c r="D30" s="80" t="str">
        <f t="shared" si="0"/>
        <v>Vlastiti prihodi</v>
      </c>
      <c r="E30" s="85">
        <v>3211</v>
      </c>
      <c r="F30" s="80" t="str">
        <f t="shared" si="1"/>
        <v>Službena putovanja</v>
      </c>
      <c r="G30" s="118" t="s">
        <v>187</v>
      </c>
      <c r="H30" s="80" t="str">
        <f t="shared" si="2"/>
        <v>REDOVNA DJELATNOST VELEUČILIŠTA I VISOKIH ŠKOLA (IZ EVIDENCIJSKIH PRIHODA)</v>
      </c>
      <c r="I30" s="80" t="str">
        <f t="shared" si="3"/>
        <v>0942</v>
      </c>
      <c r="J30" s="117">
        <v>53.09</v>
      </c>
      <c r="K30" s="117"/>
      <c r="L30" s="117"/>
      <c r="M30" s="84"/>
      <c r="O30" s="75" t="str">
        <f t="shared" si="54"/>
        <v>321</v>
      </c>
      <c r="P30" s="75" t="str">
        <f t="shared" si="55"/>
        <v>32</v>
      </c>
      <c r="Q30" s="75" t="str">
        <f t="shared" si="56"/>
        <v>31</v>
      </c>
      <c r="R30" s="75" t="str">
        <f t="shared" si="57"/>
        <v>94</v>
      </c>
      <c r="S30"/>
      <c r="T30"/>
      <c r="AB30"/>
      <c r="AC30"/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31</v>
      </c>
      <c r="D31" s="80" t="str">
        <f t="shared" si="0"/>
        <v>Vlastiti prihodi</v>
      </c>
      <c r="E31" s="85">
        <v>3221</v>
      </c>
      <c r="F31" s="80" t="str">
        <f t="shared" si="1"/>
        <v>Uredski materijal i ostali materijalni rashodi</v>
      </c>
      <c r="G31" s="118" t="s">
        <v>187</v>
      </c>
      <c r="H31" s="80" t="str">
        <f t="shared" si="2"/>
        <v>REDOVNA DJELATNOST VELEUČILIŠTA I VISOKIH ŠKOLA (IZ EVIDENCIJSKIH PRIHODA)</v>
      </c>
      <c r="I31" s="80" t="str">
        <f t="shared" si="3"/>
        <v>0942</v>
      </c>
      <c r="J31" s="117">
        <v>275.24</v>
      </c>
      <c r="K31" s="117"/>
      <c r="L31" s="117"/>
      <c r="M31" s="84"/>
      <c r="O31" s="75" t="str">
        <f t="shared" si="54"/>
        <v>322</v>
      </c>
      <c r="P31" s="75" t="str">
        <f t="shared" si="55"/>
        <v>32</v>
      </c>
      <c r="Q31" s="75" t="str">
        <f t="shared" si="56"/>
        <v>31</v>
      </c>
      <c r="R31" s="75" t="str">
        <f t="shared" si="57"/>
        <v>94</v>
      </c>
      <c r="S31"/>
      <c r="T31"/>
      <c r="AB31"/>
      <c r="AC31"/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31</v>
      </c>
      <c r="D32" s="80" t="str">
        <f t="shared" si="0"/>
        <v>Vlastiti prihodi</v>
      </c>
      <c r="E32" s="85">
        <v>3223</v>
      </c>
      <c r="F32" s="80" t="str">
        <f t="shared" si="1"/>
        <v>Energija</v>
      </c>
      <c r="G32" s="118" t="s">
        <v>187</v>
      </c>
      <c r="H32" s="80" t="str">
        <f t="shared" si="2"/>
        <v>REDOVNA DJELATNOST VELEUČILIŠTA I VISOKIH ŠKOLA (IZ EVIDENCIJSKIH PRIHODA)</v>
      </c>
      <c r="I32" s="80" t="str">
        <f t="shared" si="3"/>
        <v>0942</v>
      </c>
      <c r="J32" s="117">
        <v>602</v>
      </c>
      <c r="K32" s="117"/>
      <c r="L32" s="117"/>
      <c r="M32" s="84"/>
      <c r="O32" s="75" t="str">
        <f t="shared" ref="O32" si="58">LEFT(E32,3)</f>
        <v>322</v>
      </c>
      <c r="P32" s="75" t="str">
        <f t="shared" ref="P32" si="59">LEFT(E32,2)</f>
        <v>32</v>
      </c>
      <c r="Q32" s="75" t="str">
        <f t="shared" ref="Q32" si="60">LEFT(C32,3)</f>
        <v>31</v>
      </c>
      <c r="R32" s="75" t="str">
        <f t="shared" ref="R32" si="61">MID(I32,2,2)</f>
        <v>94</v>
      </c>
      <c r="S32"/>
      <c r="T32"/>
      <c r="AB32"/>
      <c r="AC32"/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31</v>
      </c>
      <c r="D33" s="80" t="str">
        <f t="shared" si="0"/>
        <v>Vlastiti prihodi</v>
      </c>
      <c r="E33" s="85">
        <v>3224</v>
      </c>
      <c r="F33" s="80" t="str">
        <f t="shared" si="1"/>
        <v>Materijal i dijelovi za tekuće i investicijsko održavanje</v>
      </c>
      <c r="G33" s="118" t="s">
        <v>187</v>
      </c>
      <c r="H33" s="80" t="str">
        <f t="shared" si="2"/>
        <v>REDOVNA DJELATNOST VELEUČILIŠTA I VISOKIH ŠKOLA (IZ EVIDENCIJSKIH PRIHODA)</v>
      </c>
      <c r="I33" s="80" t="str">
        <f t="shared" si="3"/>
        <v>0942</v>
      </c>
      <c r="J33" s="117">
        <v>84</v>
      </c>
      <c r="K33" s="117">
        <v>10000</v>
      </c>
      <c r="L33" s="117"/>
      <c r="M33" s="84"/>
      <c r="O33" s="75" t="str">
        <f t="shared" si="4"/>
        <v>322</v>
      </c>
      <c r="P33" s="75" t="str">
        <f t="shared" si="5"/>
        <v>32</v>
      </c>
      <c r="Q33" s="75" t="str">
        <f t="shared" si="6"/>
        <v>31</v>
      </c>
      <c r="R33" s="75" t="str">
        <f t="shared" si="7"/>
        <v>94</v>
      </c>
      <c r="S33" s="222">
        <v>5761</v>
      </c>
      <c r="T33" s="142" t="s">
        <v>3531</v>
      </c>
      <c r="V33" s="75">
        <v>3225</v>
      </c>
      <c r="W33" s="75" t="s">
        <v>101</v>
      </c>
      <c r="Y33" s="290" t="str">
        <f t="shared" si="24"/>
        <v>32</v>
      </c>
      <c r="Z33" s="75" t="str">
        <f t="shared" si="25"/>
        <v>322</v>
      </c>
      <c r="AB33" t="s">
        <v>1802</v>
      </c>
      <c r="AC33" t="s">
        <v>1803</v>
      </c>
      <c r="AD33" s="75" t="s">
        <v>5146</v>
      </c>
      <c r="AE33" s="75" t="s">
        <v>5147</v>
      </c>
      <c r="AF33" s="75" t="s">
        <v>5168</v>
      </c>
      <c r="AG33" s="75" t="s">
        <v>5178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31</v>
      </c>
      <c r="D34" s="80" t="str">
        <f t="shared" si="0"/>
        <v>Vlastiti prihodi</v>
      </c>
      <c r="E34" s="85">
        <v>3236</v>
      </c>
      <c r="F34" s="80" t="str">
        <f t="shared" si="1"/>
        <v>Zdravstvene i veterinarske usluge</v>
      </c>
      <c r="G34" s="118" t="s">
        <v>187</v>
      </c>
      <c r="H34" s="80" t="str">
        <f t="shared" si="2"/>
        <v>REDOVNA DJELATNOST VELEUČILIŠTA I VISOKIH ŠKOLA (IZ EVIDENCIJSKIH PRIHODA)</v>
      </c>
      <c r="I34" s="80" t="str">
        <f t="shared" si="3"/>
        <v>0942</v>
      </c>
      <c r="J34" s="117">
        <v>379</v>
      </c>
      <c r="K34" s="117"/>
      <c r="L34" s="117"/>
      <c r="M34" s="84"/>
      <c r="O34" s="75" t="str">
        <f t="shared" ref="O34" si="62">LEFT(E34,3)</f>
        <v>323</v>
      </c>
      <c r="P34" s="75" t="str">
        <f t="shared" ref="P34" si="63">LEFT(E34,2)</f>
        <v>32</v>
      </c>
      <c r="Q34" s="75" t="str">
        <f t="shared" ref="Q34" si="64">LEFT(C34,3)</f>
        <v>31</v>
      </c>
      <c r="R34" s="75" t="str">
        <f t="shared" ref="R34" si="65">MID(I34,2,2)</f>
        <v>94</v>
      </c>
      <c r="S34" s="222"/>
      <c r="T34" s="142"/>
      <c r="AB34"/>
      <c r="AC34"/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31</v>
      </c>
      <c r="D35" s="80" t="str">
        <f t="shared" si="0"/>
        <v>Vlastiti prihodi</v>
      </c>
      <c r="E35" s="85">
        <v>3237</v>
      </c>
      <c r="F35" s="80" t="str">
        <f t="shared" si="1"/>
        <v>Intelektualne i osobne usluge</v>
      </c>
      <c r="G35" s="118" t="s">
        <v>187</v>
      </c>
      <c r="H35" s="80" t="str">
        <f t="shared" si="2"/>
        <v>REDOVNA DJELATNOST VELEUČILIŠTA I VISOKIH ŠKOLA (IZ EVIDENCIJSKIH PRIHODA)</v>
      </c>
      <c r="I35" s="80" t="str">
        <f t="shared" si="3"/>
        <v>0942</v>
      </c>
      <c r="J35" s="117"/>
      <c r="K35" s="117"/>
      <c r="L35" s="117">
        <v>657.76</v>
      </c>
      <c r="M35" s="84"/>
      <c r="O35" s="75" t="str">
        <f t="shared" ref="O35:O43" si="66">LEFT(E35,3)</f>
        <v>323</v>
      </c>
      <c r="P35" s="75" t="str">
        <f t="shared" ref="P35:P43" si="67">LEFT(E35,2)</f>
        <v>32</v>
      </c>
      <c r="Q35" s="75" t="str">
        <f t="shared" ref="Q35:Q43" si="68">LEFT(C35,3)</f>
        <v>31</v>
      </c>
      <c r="R35" s="75" t="str">
        <f t="shared" ref="R35:R43" si="69">MID(I35,2,2)</f>
        <v>94</v>
      </c>
      <c r="S35" s="222"/>
      <c r="T35" s="142"/>
      <c r="AB35"/>
      <c r="AC35"/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31</v>
      </c>
      <c r="D36" s="80" t="str">
        <f t="shared" si="0"/>
        <v>Vlastiti prihodi</v>
      </c>
      <c r="E36" s="85">
        <v>3241</v>
      </c>
      <c r="F36" s="80" t="str">
        <f t="shared" si="1"/>
        <v>Naknade troškova osobama izvan radnog odnosa</v>
      </c>
      <c r="G36" s="118" t="s">
        <v>187</v>
      </c>
      <c r="H36" s="80" t="str">
        <f t="shared" si="2"/>
        <v>REDOVNA DJELATNOST VELEUČILIŠTA I VISOKIH ŠKOLA (IZ EVIDENCIJSKIH PRIHODA)</v>
      </c>
      <c r="I36" s="80" t="str">
        <f t="shared" si="3"/>
        <v>0942</v>
      </c>
      <c r="J36" s="117"/>
      <c r="K36" s="117"/>
      <c r="L36" s="117">
        <v>926.55</v>
      </c>
      <c r="M36" s="84"/>
      <c r="O36" s="75" t="str">
        <f t="shared" si="66"/>
        <v>324</v>
      </c>
      <c r="P36" s="75" t="str">
        <f t="shared" si="67"/>
        <v>32</v>
      </c>
      <c r="Q36" s="75" t="str">
        <f t="shared" si="68"/>
        <v>31</v>
      </c>
      <c r="R36" s="75" t="str">
        <f t="shared" si="69"/>
        <v>94</v>
      </c>
      <c r="S36" s="222"/>
      <c r="T36" s="142"/>
      <c r="AB36"/>
      <c r="AC36"/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31</v>
      </c>
      <c r="D37" s="80" t="str">
        <f t="shared" si="0"/>
        <v>Vlastiti prihodi</v>
      </c>
      <c r="E37" s="85">
        <v>3291</v>
      </c>
      <c r="F37" s="80" t="str">
        <f t="shared" si="1"/>
        <v>Naknade za rad predstavničkih i izvršnih tijela, povjerensta</v>
      </c>
      <c r="G37" s="118" t="s">
        <v>187</v>
      </c>
      <c r="H37" s="80" t="str">
        <f t="shared" si="2"/>
        <v>REDOVNA DJELATNOST VELEUČILIŠTA I VISOKIH ŠKOLA (IZ EVIDENCIJSKIH PRIHODA)</v>
      </c>
      <c r="I37" s="80" t="str">
        <f t="shared" si="3"/>
        <v>0942</v>
      </c>
      <c r="J37" s="117"/>
      <c r="K37" s="117"/>
      <c r="L37" s="117">
        <v>3719.81</v>
      </c>
      <c r="M37" s="84"/>
      <c r="O37" s="75" t="str">
        <f t="shared" si="66"/>
        <v>329</v>
      </c>
      <c r="P37" s="75" t="str">
        <f t="shared" si="67"/>
        <v>32</v>
      </c>
      <c r="Q37" s="75" t="str">
        <f t="shared" si="68"/>
        <v>31</v>
      </c>
      <c r="R37" s="75" t="str">
        <f t="shared" si="69"/>
        <v>94</v>
      </c>
      <c r="S37" s="222"/>
      <c r="T37" s="142"/>
      <c r="AB37"/>
      <c r="AC37"/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31</v>
      </c>
      <c r="D38" s="80" t="str">
        <f t="shared" si="0"/>
        <v>Vlastiti prihodi</v>
      </c>
      <c r="E38" s="85">
        <v>3292</v>
      </c>
      <c r="F38" s="80" t="str">
        <f t="shared" si="1"/>
        <v>Premije osiguranja</v>
      </c>
      <c r="G38" s="118" t="s">
        <v>187</v>
      </c>
      <c r="H38" s="80" t="str">
        <f t="shared" si="2"/>
        <v>REDOVNA DJELATNOST VELEUČILIŠTA I VISOKIH ŠKOLA (IZ EVIDENCIJSKIH PRIHODA)</v>
      </c>
      <c r="I38" s="80" t="str">
        <f t="shared" si="3"/>
        <v>0942</v>
      </c>
      <c r="J38" s="117"/>
      <c r="K38" s="117"/>
      <c r="L38" s="117">
        <v>1482.16</v>
      </c>
      <c r="M38" s="84"/>
      <c r="O38" s="75" t="str">
        <f t="shared" si="66"/>
        <v>329</v>
      </c>
      <c r="P38" s="75" t="str">
        <f t="shared" si="67"/>
        <v>32</v>
      </c>
      <c r="Q38" s="75" t="str">
        <f t="shared" si="68"/>
        <v>31</v>
      </c>
      <c r="R38" s="75" t="str">
        <f t="shared" si="69"/>
        <v>94</v>
      </c>
      <c r="S38" s="222"/>
      <c r="T38" s="142"/>
      <c r="AB38"/>
      <c r="AC38"/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si="0"/>
        <v>Vlastiti prihodi</v>
      </c>
      <c r="E39" s="85">
        <v>3293</v>
      </c>
      <c r="F39" s="80" t="str">
        <f t="shared" si="1"/>
        <v>Reprezentacija</v>
      </c>
      <c r="G39" s="118" t="s">
        <v>187</v>
      </c>
      <c r="H39" s="80" t="str">
        <f t="shared" si="2"/>
        <v>REDOVNA DJELATNOST VELEUČILIŠTA I VISOKIH ŠKOLA (IZ EVIDENCIJSKIH PRIHODA)</v>
      </c>
      <c r="I39" s="80" t="str">
        <f t="shared" si="3"/>
        <v>0942</v>
      </c>
      <c r="J39" s="117"/>
      <c r="K39" s="117"/>
      <c r="L39" s="117">
        <v>3108.4700000000003</v>
      </c>
      <c r="M39" s="84"/>
      <c r="O39" s="75" t="str">
        <f t="shared" si="66"/>
        <v>329</v>
      </c>
      <c r="P39" s="75" t="str">
        <f t="shared" si="67"/>
        <v>32</v>
      </c>
      <c r="Q39" s="75" t="str">
        <f t="shared" si="68"/>
        <v>31</v>
      </c>
      <c r="R39" s="75" t="str">
        <f t="shared" si="69"/>
        <v>94</v>
      </c>
      <c r="S39" s="222"/>
      <c r="T39" s="142"/>
      <c r="AB39"/>
      <c r="AC39"/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0"/>
        <v>Vlastiti prihodi</v>
      </c>
      <c r="E40" s="85">
        <v>3431</v>
      </c>
      <c r="F40" s="80" t="str">
        <f t="shared" si="1"/>
        <v>Bankarske usluge i usluge platnog prometa</v>
      </c>
      <c r="G40" s="118" t="s">
        <v>187</v>
      </c>
      <c r="H40" s="80" t="str">
        <f t="shared" si="2"/>
        <v>REDOVNA DJELATNOST VELEUČILIŠTA I VISOKIH ŠKOLA (IZ EVIDENCIJSKIH PRIHODA)</v>
      </c>
      <c r="I40" s="80" t="str">
        <f t="shared" si="3"/>
        <v>0942</v>
      </c>
      <c r="J40" s="117">
        <v>253.79000000000002</v>
      </c>
      <c r="K40" s="117"/>
      <c r="L40" s="117">
        <v>254.62999999999988</v>
      </c>
      <c r="M40" s="84"/>
      <c r="O40" s="75" t="str">
        <f t="shared" si="66"/>
        <v>343</v>
      </c>
      <c r="P40" s="75" t="str">
        <f t="shared" si="67"/>
        <v>34</v>
      </c>
      <c r="Q40" s="75" t="str">
        <f t="shared" si="68"/>
        <v>31</v>
      </c>
      <c r="R40" s="75" t="str">
        <f t="shared" si="69"/>
        <v>94</v>
      </c>
      <c r="S40" s="222"/>
      <c r="T40" s="142"/>
      <c r="AB40"/>
      <c r="AC40"/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0"/>
        <v>Vlastiti prihodi</v>
      </c>
      <c r="E41" s="85">
        <v>3433</v>
      </c>
      <c r="F41" s="80" t="str">
        <f t="shared" si="1"/>
        <v>Zatezne kamate</v>
      </c>
      <c r="G41" s="118" t="s">
        <v>187</v>
      </c>
      <c r="H41" s="80" t="str">
        <f t="shared" si="2"/>
        <v>REDOVNA DJELATNOST VELEUČILIŠTA I VISOKIH ŠKOLA (IZ EVIDENCIJSKIH PRIHODA)</v>
      </c>
      <c r="I41" s="80" t="str">
        <f t="shared" si="3"/>
        <v>0942</v>
      </c>
      <c r="J41" s="117">
        <v>265.26</v>
      </c>
      <c r="K41" s="117"/>
      <c r="L41" s="117"/>
      <c r="M41" s="84"/>
      <c r="O41" s="75" t="str">
        <f t="shared" si="66"/>
        <v>343</v>
      </c>
      <c r="P41" s="75" t="str">
        <f t="shared" si="67"/>
        <v>34</v>
      </c>
      <c r="Q41" s="75" t="str">
        <f t="shared" si="68"/>
        <v>31</v>
      </c>
      <c r="R41" s="75" t="str">
        <f t="shared" si="69"/>
        <v>94</v>
      </c>
      <c r="S41" s="222"/>
      <c r="T41" s="142"/>
      <c r="AB41"/>
      <c r="AC41"/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0"/>
        <v>Vlastiti prihodi</v>
      </c>
      <c r="E42" s="85">
        <v>3811</v>
      </c>
      <c r="F42" s="80" t="str">
        <f t="shared" si="1"/>
        <v>Tekuće donacije u novcu</v>
      </c>
      <c r="G42" s="118" t="s">
        <v>187</v>
      </c>
      <c r="H42" s="80" t="str">
        <f t="shared" si="2"/>
        <v>REDOVNA DJELATNOST VELEUČILIŠTA I VISOKIH ŠKOLA (IZ EVIDENCIJSKIH PRIHODA)</v>
      </c>
      <c r="I42" s="80" t="str">
        <f t="shared" si="3"/>
        <v>0942</v>
      </c>
      <c r="J42" s="117"/>
      <c r="K42" s="117"/>
      <c r="L42" s="117">
        <v>150</v>
      </c>
      <c r="M42" s="84"/>
      <c r="O42" s="75" t="str">
        <f t="shared" si="66"/>
        <v>381</v>
      </c>
      <c r="P42" s="75" t="str">
        <f t="shared" si="67"/>
        <v>38</v>
      </c>
      <c r="Q42" s="75" t="str">
        <f t="shared" si="68"/>
        <v>31</v>
      </c>
      <c r="R42" s="75" t="str">
        <f t="shared" si="69"/>
        <v>94</v>
      </c>
      <c r="S42" s="222"/>
      <c r="T42" s="142"/>
      <c r="AB42"/>
      <c r="AC42"/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31</v>
      </c>
      <c r="D43" s="80" t="str">
        <f t="shared" si="0"/>
        <v>Vlastiti prihodi</v>
      </c>
      <c r="E43" s="85">
        <v>4222</v>
      </c>
      <c r="F43" s="80" t="str">
        <f t="shared" si="1"/>
        <v>Komunikacijska oprema</v>
      </c>
      <c r="G43" s="118" t="s">
        <v>187</v>
      </c>
      <c r="H43" s="80" t="str">
        <f t="shared" si="2"/>
        <v>REDOVNA DJELATNOST VELEUČILIŠTA I VISOKIH ŠKOLA (IZ EVIDENCIJSKIH PRIHODA)</v>
      </c>
      <c r="I43" s="80" t="str">
        <f t="shared" si="3"/>
        <v>0942</v>
      </c>
      <c r="J43" s="117"/>
      <c r="K43" s="117"/>
      <c r="L43" s="117">
        <v>348.51</v>
      </c>
      <c r="M43" s="84"/>
      <c r="O43" s="75" t="str">
        <f t="shared" si="66"/>
        <v>422</v>
      </c>
      <c r="P43" s="75" t="str">
        <f t="shared" si="67"/>
        <v>42</v>
      </c>
      <c r="Q43" s="75" t="str">
        <f t="shared" si="68"/>
        <v>31</v>
      </c>
      <c r="R43" s="75" t="str">
        <f t="shared" si="69"/>
        <v>94</v>
      </c>
      <c r="S43" s="222"/>
      <c r="T43" s="142"/>
      <c r="AB43"/>
      <c r="AC43"/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31</v>
      </c>
      <c r="D44" s="80" t="str">
        <f t="shared" si="0"/>
        <v>Vlastiti prihodi</v>
      </c>
      <c r="E44" s="85">
        <v>4221</v>
      </c>
      <c r="F44" s="80" t="str">
        <f t="shared" si="1"/>
        <v>Uredska oprema i namještaj</v>
      </c>
      <c r="G44" s="118" t="s">
        <v>187</v>
      </c>
      <c r="H44" s="80" t="str">
        <f t="shared" si="2"/>
        <v>REDOVNA DJELATNOST VELEUČILIŠTA I VISOKIH ŠKOLA (IZ EVIDENCIJSKIH PRIHODA)</v>
      </c>
      <c r="I44" s="80" t="str">
        <f t="shared" si="3"/>
        <v>0942</v>
      </c>
      <c r="J44" s="117"/>
      <c r="K44" s="117">
        <v>10000</v>
      </c>
      <c r="L44" s="117">
        <v>229.45</v>
      </c>
      <c r="M44" s="84"/>
      <c r="O44" s="75" t="str">
        <f t="shared" si="4"/>
        <v>422</v>
      </c>
      <c r="P44" s="75" t="str">
        <f t="shared" si="5"/>
        <v>42</v>
      </c>
      <c r="Q44" s="75" t="str">
        <f t="shared" si="6"/>
        <v>31</v>
      </c>
      <c r="R44" s="75" t="str">
        <f t="shared" si="7"/>
        <v>94</v>
      </c>
      <c r="S44" s="222">
        <v>5762</v>
      </c>
      <c r="T44" s="142" t="s">
        <v>3531</v>
      </c>
      <c r="V44" s="75">
        <v>3226</v>
      </c>
      <c r="W44" s="75" t="s">
        <v>175</v>
      </c>
      <c r="Y44" s="290" t="str">
        <f t="shared" si="24"/>
        <v>32</v>
      </c>
      <c r="Z44" s="75" t="str">
        <f t="shared" si="25"/>
        <v>322</v>
      </c>
      <c r="AB44" t="s">
        <v>1623</v>
      </c>
      <c r="AC44" t="s">
        <v>1624</v>
      </c>
      <c r="AD44" s="75" t="s">
        <v>5146</v>
      </c>
      <c r="AE44" s="75" t="s">
        <v>5147</v>
      </c>
      <c r="AF44" s="75" t="s">
        <v>5168</v>
      </c>
      <c r="AG44" s="75" t="s">
        <v>5178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0"/>
        <v>Ostali prihodi za posebne namjene</v>
      </c>
      <c r="E45" s="85">
        <v>3111</v>
      </c>
      <c r="F45" s="80" t="str">
        <f t="shared" si="1"/>
        <v>Plaće za redovan rad</v>
      </c>
      <c r="G45" s="118" t="s">
        <v>187</v>
      </c>
      <c r="H45" s="80" t="str">
        <f t="shared" si="2"/>
        <v>REDOVNA DJELATNOST VELEUČILIŠTA I VISOKIH ŠKOLA (IZ EVIDENCIJSKIH PRIHODA)</v>
      </c>
      <c r="I45" s="80" t="str">
        <f t="shared" si="3"/>
        <v>0942</v>
      </c>
      <c r="J45" s="117">
        <v>42548.08</v>
      </c>
      <c r="K45" s="117">
        <v>32000</v>
      </c>
      <c r="L45" s="117">
        <v>4627.6899999999187</v>
      </c>
      <c r="M45" s="84"/>
      <c r="O45" s="75" t="str">
        <f t="shared" si="4"/>
        <v>311</v>
      </c>
      <c r="P45" s="75" t="str">
        <f t="shared" si="5"/>
        <v>31</v>
      </c>
      <c r="Q45" s="75" t="str">
        <f t="shared" si="6"/>
        <v>43</v>
      </c>
      <c r="R45" s="75" t="str">
        <f t="shared" si="7"/>
        <v>94</v>
      </c>
      <c r="S45" s="142">
        <v>581</v>
      </c>
      <c r="T45" s="143" t="s">
        <v>1778</v>
      </c>
      <c r="V45" s="75">
        <v>3227</v>
      </c>
      <c r="W45" s="75" t="s">
        <v>118</v>
      </c>
      <c r="Y45" s="290" t="str">
        <f t="shared" si="24"/>
        <v>32</v>
      </c>
      <c r="Z45" s="75" t="str">
        <f t="shared" si="25"/>
        <v>322</v>
      </c>
      <c r="AB45" t="s">
        <v>1804</v>
      </c>
      <c r="AC45" t="s">
        <v>1805</v>
      </c>
      <c r="AD45" s="75" t="s">
        <v>5142</v>
      </c>
      <c r="AE45" s="75" t="s">
        <v>5143</v>
      </c>
      <c r="AF45" s="75" t="s">
        <v>5168</v>
      </c>
      <c r="AG45" s="75" t="s">
        <v>5175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0"/>
        <v>Ostali prihodi za posebne namjene</v>
      </c>
      <c r="E46" s="85">
        <v>3113</v>
      </c>
      <c r="F46" s="80" t="str">
        <f t="shared" si="1"/>
        <v>Plaće za prekovremeni rad</v>
      </c>
      <c r="G46" s="118" t="s">
        <v>187</v>
      </c>
      <c r="H46" s="80" t="str">
        <f t="shared" si="2"/>
        <v>REDOVNA DJELATNOST VELEUČILIŠTA I VISOKIH ŠKOLA (IZ EVIDENCIJSKIH PRIHODA)</v>
      </c>
      <c r="I46" s="80" t="str">
        <f t="shared" si="3"/>
        <v>0942</v>
      </c>
      <c r="J46" s="117"/>
      <c r="K46" s="117">
        <v>1333</v>
      </c>
      <c r="L46" s="117"/>
      <c r="M46" s="84"/>
      <c r="O46" s="75" t="str">
        <f t="shared" si="4"/>
        <v>311</v>
      </c>
      <c r="P46" s="75" t="str">
        <f t="shared" si="5"/>
        <v>31</v>
      </c>
      <c r="Q46" s="75" t="str">
        <f t="shared" si="6"/>
        <v>43</v>
      </c>
      <c r="R46" s="75" t="str">
        <f t="shared" si="7"/>
        <v>94</v>
      </c>
      <c r="S46" s="75">
        <v>61</v>
      </c>
      <c r="T46" s="75" t="s">
        <v>115</v>
      </c>
      <c r="V46" s="75">
        <v>3231</v>
      </c>
      <c r="W46" s="75" t="s">
        <v>102</v>
      </c>
      <c r="Y46" s="290" t="str">
        <f t="shared" si="24"/>
        <v>32</v>
      </c>
      <c r="Z46" s="75" t="str">
        <f t="shared" si="25"/>
        <v>323</v>
      </c>
      <c r="AB46" t="s">
        <v>1806</v>
      </c>
      <c r="AC46" t="s">
        <v>1807</v>
      </c>
      <c r="AD46" s="75" t="s">
        <v>5146</v>
      </c>
      <c r="AE46" s="75" t="s">
        <v>5147</v>
      </c>
      <c r="AF46" s="75" t="s">
        <v>5168</v>
      </c>
      <c r="AG46" s="75" t="s">
        <v>5178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0"/>
        <v>Ostali prihodi za posebne namjene</v>
      </c>
      <c r="E47" s="85">
        <v>3121</v>
      </c>
      <c r="F47" s="80" t="str">
        <f t="shared" si="1"/>
        <v>Ostali rashodi za zaposlene</v>
      </c>
      <c r="G47" s="118" t="s">
        <v>187</v>
      </c>
      <c r="H47" s="80" t="str">
        <f t="shared" si="2"/>
        <v>REDOVNA DJELATNOST VELEUČILIŠTA I VISOKIH ŠKOLA (IZ EVIDENCIJSKIH PRIHODA)</v>
      </c>
      <c r="I47" s="80" t="str">
        <f t="shared" si="3"/>
        <v>0942</v>
      </c>
      <c r="J47" s="117">
        <v>597.25</v>
      </c>
      <c r="K47" s="117">
        <v>2667</v>
      </c>
      <c r="L47" s="117">
        <v>4080.08</v>
      </c>
      <c r="M47" s="84"/>
      <c r="O47" s="75" t="str">
        <f t="shared" si="4"/>
        <v>312</v>
      </c>
      <c r="P47" s="75" t="str">
        <f t="shared" si="5"/>
        <v>31</v>
      </c>
      <c r="Q47" s="75" t="str">
        <f t="shared" si="6"/>
        <v>43</v>
      </c>
      <c r="R47" s="75" t="str">
        <f t="shared" si="7"/>
        <v>94</v>
      </c>
      <c r="S47" s="75">
        <v>71</v>
      </c>
      <c r="T47" s="75" t="s">
        <v>173</v>
      </c>
      <c r="V47" s="75">
        <v>3232</v>
      </c>
      <c r="W47" s="75" t="s">
        <v>89</v>
      </c>
      <c r="Y47" s="290" t="str">
        <f t="shared" si="24"/>
        <v>32</v>
      </c>
      <c r="Z47" s="75" t="str">
        <f t="shared" si="25"/>
        <v>323</v>
      </c>
      <c r="AB47" t="s">
        <v>1808</v>
      </c>
      <c r="AC47" t="s">
        <v>1809</v>
      </c>
      <c r="AD47" s="75" t="s">
        <v>5148</v>
      </c>
      <c r="AE47" s="75" t="s">
        <v>5149</v>
      </c>
      <c r="AF47" s="75" t="s">
        <v>5168</v>
      </c>
      <c r="AG47" s="75" t="s">
        <v>5177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0"/>
        <v>Ostali prihodi za posebne namjene</v>
      </c>
      <c r="E48" s="85">
        <v>3132</v>
      </c>
      <c r="F48" s="80" t="str">
        <f t="shared" si="1"/>
        <v>Doprinosi za obvezno zdravstveno osiguranje</v>
      </c>
      <c r="G48" s="118" t="s">
        <v>187</v>
      </c>
      <c r="H48" s="80" t="str">
        <f t="shared" si="2"/>
        <v>REDOVNA DJELATNOST VELEUČILIŠTA I VISOKIH ŠKOLA (IZ EVIDENCIJSKIH PRIHODA)</v>
      </c>
      <c r="I48" s="80" t="str">
        <f t="shared" si="3"/>
        <v>0942</v>
      </c>
      <c r="J48" s="117">
        <v>7259.4599999999991</v>
      </c>
      <c r="K48" s="117">
        <v>2640</v>
      </c>
      <c r="L48" s="117">
        <v>988.75</v>
      </c>
      <c r="M48" s="84"/>
      <c r="O48" s="75" t="str">
        <f t="shared" si="4"/>
        <v>313</v>
      </c>
      <c r="P48" s="75" t="str">
        <f t="shared" si="5"/>
        <v>31</v>
      </c>
      <c r="Q48" s="75" t="str">
        <f t="shared" si="6"/>
        <v>43</v>
      </c>
      <c r="R48" s="75" t="str">
        <f t="shared" si="7"/>
        <v>94</v>
      </c>
      <c r="S48" s="75">
        <v>81</v>
      </c>
      <c r="T48" s="75" t="s">
        <v>56</v>
      </c>
      <c r="V48" s="75">
        <v>3233</v>
      </c>
      <c r="W48" s="75" t="s">
        <v>77</v>
      </c>
      <c r="Y48" s="290" t="str">
        <f t="shared" si="24"/>
        <v>32</v>
      </c>
      <c r="Z48" s="75" t="str">
        <f t="shared" si="25"/>
        <v>323</v>
      </c>
      <c r="AB48" t="s">
        <v>1810</v>
      </c>
      <c r="AC48" t="s">
        <v>1811</v>
      </c>
      <c r="AD48" s="75" t="s">
        <v>5154</v>
      </c>
      <c r="AE48" s="75" t="s">
        <v>5155</v>
      </c>
      <c r="AF48" s="75" t="s">
        <v>5168</v>
      </c>
      <c r="AG48" s="75" t="s">
        <v>5175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0"/>
        <v>Ostali prihodi za posebne namjene</v>
      </c>
      <c r="E49" s="85">
        <v>3211</v>
      </c>
      <c r="F49" s="80" t="str">
        <f t="shared" si="1"/>
        <v>Službena putovanja</v>
      </c>
      <c r="G49" s="118" t="s">
        <v>187</v>
      </c>
      <c r="H49" s="80" t="str">
        <f t="shared" si="2"/>
        <v>REDOVNA DJELATNOST VELEUČILIŠTA I VISOKIH ŠKOLA (IZ EVIDENCIJSKIH PRIHODA)</v>
      </c>
      <c r="I49" s="80" t="str">
        <f t="shared" si="3"/>
        <v>0942</v>
      </c>
      <c r="J49" s="117">
        <v>1362.86</v>
      </c>
      <c r="K49" s="117">
        <v>13333</v>
      </c>
      <c r="L49" s="117">
        <v>3119.7500000000018</v>
      </c>
      <c r="M49" s="84"/>
      <c r="O49" s="75" t="str">
        <f t="shared" si="4"/>
        <v>321</v>
      </c>
      <c r="P49" s="75" t="str">
        <f t="shared" si="5"/>
        <v>32</v>
      </c>
      <c r="Q49" s="75" t="str">
        <f t="shared" si="6"/>
        <v>43</v>
      </c>
      <c r="R49" s="75" t="str">
        <f t="shared" si="7"/>
        <v>94</v>
      </c>
      <c r="V49" s="75">
        <v>3234</v>
      </c>
      <c r="W49" s="75" t="s">
        <v>90</v>
      </c>
      <c r="Y49" s="290" t="str">
        <f t="shared" si="24"/>
        <v>32</v>
      </c>
      <c r="Z49" s="75" t="str">
        <f t="shared" si="25"/>
        <v>323</v>
      </c>
      <c r="AB49" t="s">
        <v>1812</v>
      </c>
      <c r="AC49" t="s">
        <v>1813</v>
      </c>
      <c r="AD49" s="75" t="s">
        <v>5154</v>
      </c>
      <c r="AE49" s="75" t="s">
        <v>5155</v>
      </c>
      <c r="AF49" s="75" t="s">
        <v>5168</v>
      </c>
      <c r="AG49" s="75" t="s">
        <v>5175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0"/>
        <v>Ostali prihodi za posebne namjene</v>
      </c>
      <c r="E50" s="85">
        <v>3212</v>
      </c>
      <c r="F50" s="80" t="str">
        <f t="shared" si="1"/>
        <v>Naknade za prijevoz, za rad na terenu i odvojeni život</v>
      </c>
      <c r="G50" s="118" t="s">
        <v>187</v>
      </c>
      <c r="H50" s="80" t="str">
        <f t="shared" si="2"/>
        <v>REDOVNA DJELATNOST VELEUČILIŠTA I VISOKIH ŠKOLA (IZ EVIDENCIJSKIH PRIHODA)</v>
      </c>
      <c r="I50" s="80" t="str">
        <f t="shared" si="3"/>
        <v>0942</v>
      </c>
      <c r="J50" s="117">
        <v>254.69</v>
      </c>
      <c r="K50" s="117">
        <v>4000</v>
      </c>
      <c r="L50" s="117">
        <v>81.5</v>
      </c>
      <c r="M50" s="84"/>
      <c r="O50" s="75" t="str">
        <f t="shared" si="4"/>
        <v>321</v>
      </c>
      <c r="P50" s="75" t="str">
        <f t="shared" si="5"/>
        <v>32</v>
      </c>
      <c r="Q50" s="75" t="str">
        <f t="shared" si="6"/>
        <v>43</v>
      </c>
      <c r="R50" s="75" t="str">
        <f t="shared" si="7"/>
        <v>94</v>
      </c>
      <c r="V50" s="75">
        <v>3235</v>
      </c>
      <c r="W50" s="75" t="s">
        <v>110</v>
      </c>
      <c r="Y50" s="290" t="str">
        <f t="shared" si="24"/>
        <v>32</v>
      </c>
      <c r="Z50" s="75" t="str">
        <f t="shared" si="25"/>
        <v>323</v>
      </c>
      <c r="AB50" t="s">
        <v>1814</v>
      </c>
      <c r="AC50" t="s">
        <v>1815</v>
      </c>
      <c r="AD50" s="75" t="s">
        <v>5154</v>
      </c>
      <c r="AE50" s="75" t="s">
        <v>5155</v>
      </c>
      <c r="AF50" s="75" t="s">
        <v>5168</v>
      </c>
      <c r="AG50" s="75" t="s">
        <v>5175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ref="D51:D84" si="70">IFERROR(VLOOKUP(C51,$S$7:$T$48,2,FALSE),"")</f>
        <v>Ostali prihodi za posebne namjene</v>
      </c>
      <c r="E51" s="85">
        <v>3213</v>
      </c>
      <c r="F51" s="80" t="str">
        <f t="shared" si="1"/>
        <v>Stručno usavršavanje zaposlenika</v>
      </c>
      <c r="G51" s="118" t="s">
        <v>187</v>
      </c>
      <c r="H51" s="80" t="str">
        <f t="shared" si="2"/>
        <v>REDOVNA DJELATNOST VELEUČILIŠTA I VISOKIH ŠKOLA (IZ EVIDENCIJSKIH PRIHODA)</v>
      </c>
      <c r="I51" s="80" t="str">
        <f t="shared" si="3"/>
        <v>0942</v>
      </c>
      <c r="J51" s="117">
        <v>677.63</v>
      </c>
      <c r="K51" s="117">
        <v>13333</v>
      </c>
      <c r="L51" s="117">
        <v>325.44999999999561</v>
      </c>
      <c r="M51" s="84"/>
      <c r="O51" s="75" t="str">
        <f t="shared" si="4"/>
        <v>321</v>
      </c>
      <c r="P51" s="75" t="str">
        <f t="shared" si="5"/>
        <v>32</v>
      </c>
      <c r="Q51" s="75" t="str">
        <f t="shared" si="6"/>
        <v>43</v>
      </c>
      <c r="R51" s="75" t="str">
        <f t="shared" si="7"/>
        <v>94</v>
      </c>
      <c r="V51" s="75">
        <v>3236</v>
      </c>
      <c r="W51" s="75" t="s">
        <v>53</v>
      </c>
      <c r="Y51" s="290" t="str">
        <f t="shared" si="24"/>
        <v>32</v>
      </c>
      <c r="Z51" s="75" t="str">
        <f t="shared" si="25"/>
        <v>323</v>
      </c>
      <c r="AB51" t="s">
        <v>1816</v>
      </c>
      <c r="AC51" t="s">
        <v>1817</v>
      </c>
      <c r="AD51" s="75" t="s">
        <v>5154</v>
      </c>
      <c r="AE51" s="75" t="s">
        <v>5155</v>
      </c>
      <c r="AF51" s="75" t="s">
        <v>5168</v>
      </c>
      <c r="AG51" s="75" t="s">
        <v>5175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70"/>
        <v>Ostali prihodi za posebne namjene</v>
      </c>
      <c r="E52" s="85">
        <v>3214</v>
      </c>
      <c r="F52" s="80" t="str">
        <f t="shared" si="1"/>
        <v>Ostale naknade troškova zaposlenima</v>
      </c>
      <c r="G52" s="118" t="s">
        <v>187</v>
      </c>
      <c r="H52" s="80" t="str">
        <f t="shared" si="2"/>
        <v>REDOVNA DJELATNOST VELEUČILIŠTA I VISOKIH ŠKOLA (IZ EVIDENCIJSKIH PRIHODA)</v>
      </c>
      <c r="I52" s="80" t="str">
        <f t="shared" si="3"/>
        <v>0942</v>
      </c>
      <c r="J52" s="117">
        <v>472.97</v>
      </c>
      <c r="K52" s="117">
        <v>302</v>
      </c>
      <c r="L52" s="117">
        <v>84</v>
      </c>
      <c r="M52" s="84"/>
      <c r="O52" s="75" t="str">
        <f t="shared" si="4"/>
        <v>321</v>
      </c>
      <c r="P52" s="75" t="str">
        <f t="shared" si="5"/>
        <v>32</v>
      </c>
      <c r="Q52" s="75" t="str">
        <f t="shared" si="6"/>
        <v>43</v>
      </c>
      <c r="R52" s="75" t="str">
        <f t="shared" si="7"/>
        <v>94</v>
      </c>
      <c r="V52" s="75">
        <v>3237</v>
      </c>
      <c r="W52" s="75" t="s">
        <v>66</v>
      </c>
      <c r="Y52" s="290" t="str">
        <f t="shared" si="24"/>
        <v>32</v>
      </c>
      <c r="Z52" s="75" t="str">
        <f t="shared" si="25"/>
        <v>323</v>
      </c>
      <c r="AB52" t="s">
        <v>948</v>
      </c>
      <c r="AC52" t="s">
        <v>949</v>
      </c>
      <c r="AD52" s="75" t="s">
        <v>5146</v>
      </c>
      <c r="AE52" s="75" t="s">
        <v>5147</v>
      </c>
      <c r="AF52" s="75" t="s">
        <v>5168</v>
      </c>
      <c r="AG52" s="75" t="s">
        <v>5178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70"/>
        <v>Ostali prihodi za posebne namjene</v>
      </c>
      <c r="E53" s="85">
        <v>3221</v>
      </c>
      <c r="F53" s="80" t="str">
        <f t="shared" si="1"/>
        <v>Uredski materijal i ostali materijalni rashodi</v>
      </c>
      <c r="G53" s="118" t="s">
        <v>187</v>
      </c>
      <c r="H53" s="80" t="str">
        <f t="shared" si="2"/>
        <v>REDOVNA DJELATNOST VELEUČILIŠTA I VISOKIH ŠKOLA (IZ EVIDENCIJSKIH PRIHODA)</v>
      </c>
      <c r="I53" s="80" t="str">
        <f t="shared" si="3"/>
        <v>0942</v>
      </c>
      <c r="J53" s="117">
        <v>2936.72</v>
      </c>
      <c r="K53" s="117">
        <v>4000</v>
      </c>
      <c r="L53" s="117">
        <v>4172.6000000000004</v>
      </c>
      <c r="M53" s="84"/>
      <c r="O53" s="75" t="str">
        <f t="shared" si="4"/>
        <v>322</v>
      </c>
      <c r="P53" s="75" t="str">
        <f t="shared" si="5"/>
        <v>32</v>
      </c>
      <c r="Q53" s="75" t="str">
        <f t="shared" si="6"/>
        <v>43</v>
      </c>
      <c r="R53" s="75" t="str">
        <f t="shared" si="7"/>
        <v>94</v>
      </c>
      <c r="V53" s="75">
        <v>3238</v>
      </c>
      <c r="W53" s="75" t="s">
        <v>103</v>
      </c>
      <c r="Y53" s="290" t="str">
        <f t="shared" si="24"/>
        <v>32</v>
      </c>
      <c r="Z53" s="75" t="str">
        <f t="shared" si="25"/>
        <v>323</v>
      </c>
      <c r="AB53" t="s">
        <v>1818</v>
      </c>
      <c r="AC53" t="s">
        <v>1819</v>
      </c>
      <c r="AD53" s="75" t="s">
        <v>5148</v>
      </c>
      <c r="AE53" s="75" t="s">
        <v>5149</v>
      </c>
      <c r="AF53" s="75" t="s">
        <v>5168</v>
      </c>
      <c r="AG53" s="75" t="s">
        <v>5177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70"/>
        <v>Ostali prihodi za posebne namjene</v>
      </c>
      <c r="E54" s="85">
        <v>3222</v>
      </c>
      <c r="F54" s="80" t="str">
        <f t="shared" si="1"/>
        <v>Materijal i sirovine</v>
      </c>
      <c r="G54" s="118" t="s">
        <v>187</v>
      </c>
      <c r="H54" s="80" t="str">
        <f t="shared" si="2"/>
        <v>REDOVNA DJELATNOST VELEUČILIŠTA I VISOKIH ŠKOLA (IZ EVIDENCIJSKIH PRIHODA)</v>
      </c>
      <c r="I54" s="80" t="str">
        <f t="shared" si="3"/>
        <v>0942</v>
      </c>
      <c r="J54" s="117"/>
      <c r="K54" s="117"/>
      <c r="L54" s="117">
        <v>399.83</v>
      </c>
      <c r="M54" s="84"/>
      <c r="O54" s="75" t="str">
        <f t="shared" ref="O54:O55" si="71">LEFT(E54,3)</f>
        <v>322</v>
      </c>
      <c r="P54" s="75" t="str">
        <f t="shared" ref="P54:P55" si="72">LEFT(E54,2)</f>
        <v>32</v>
      </c>
      <c r="Q54" s="75" t="str">
        <f t="shared" ref="Q54:Q55" si="73">LEFT(C54,3)</f>
        <v>43</v>
      </c>
      <c r="R54" s="75" t="str">
        <f t="shared" ref="R54:R55" si="74">MID(I54,2,2)</f>
        <v>94</v>
      </c>
      <c r="AB54"/>
      <c r="AC54"/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70"/>
        <v>Ostali prihodi za posebne namjene</v>
      </c>
      <c r="E55" s="85">
        <v>3223</v>
      </c>
      <c r="F55" s="80" t="str">
        <f t="shared" si="1"/>
        <v>Energija</v>
      </c>
      <c r="G55" s="118" t="s">
        <v>187</v>
      </c>
      <c r="H55" s="80" t="str">
        <f t="shared" si="2"/>
        <v>REDOVNA DJELATNOST VELEUČILIŠTA I VISOKIH ŠKOLA (IZ EVIDENCIJSKIH PRIHODA)</v>
      </c>
      <c r="I55" s="80" t="str">
        <f t="shared" si="3"/>
        <v>0942</v>
      </c>
      <c r="J55" s="117">
        <v>3025.51</v>
      </c>
      <c r="K55" s="117"/>
      <c r="L55" s="117">
        <v>4827.7499999999982</v>
      </c>
      <c r="M55" s="84"/>
      <c r="O55" s="75" t="str">
        <f t="shared" si="71"/>
        <v>322</v>
      </c>
      <c r="P55" s="75" t="str">
        <f t="shared" si="72"/>
        <v>32</v>
      </c>
      <c r="Q55" s="75" t="str">
        <f t="shared" si="73"/>
        <v>43</v>
      </c>
      <c r="R55" s="75" t="str">
        <f t="shared" si="74"/>
        <v>94</v>
      </c>
      <c r="AB55"/>
      <c r="AC55"/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70"/>
        <v>Ostali prihodi za posebne namjene</v>
      </c>
      <c r="E56" s="85">
        <v>3225</v>
      </c>
      <c r="F56" s="80" t="str">
        <f t="shared" si="1"/>
        <v>Sitni inventar i auto gume</v>
      </c>
      <c r="G56" s="118" t="s">
        <v>187</v>
      </c>
      <c r="H56" s="80" t="str">
        <f t="shared" si="2"/>
        <v>REDOVNA DJELATNOST VELEUČILIŠTA I VISOKIH ŠKOLA (IZ EVIDENCIJSKIH PRIHODA)</v>
      </c>
      <c r="I56" s="80" t="str">
        <f t="shared" si="3"/>
        <v>0942</v>
      </c>
      <c r="J56" s="117">
        <v>119.32</v>
      </c>
      <c r="K56" s="117">
        <v>2667</v>
      </c>
      <c r="L56" s="117">
        <v>969.61999999999989</v>
      </c>
      <c r="M56" s="84"/>
      <c r="O56" s="75" t="str">
        <f t="shared" si="4"/>
        <v>322</v>
      </c>
      <c r="P56" s="75" t="str">
        <f t="shared" si="5"/>
        <v>32</v>
      </c>
      <c r="Q56" s="75" t="str">
        <f t="shared" si="6"/>
        <v>43</v>
      </c>
      <c r="R56" s="75" t="str">
        <f t="shared" si="7"/>
        <v>94</v>
      </c>
      <c r="V56" s="75">
        <v>3239</v>
      </c>
      <c r="W56" s="75" t="s">
        <v>83</v>
      </c>
      <c r="Y56" s="290" t="str">
        <f t="shared" si="24"/>
        <v>32</v>
      </c>
      <c r="Z56" s="75" t="str">
        <f t="shared" si="25"/>
        <v>323</v>
      </c>
      <c r="AB56" t="s">
        <v>1820</v>
      </c>
      <c r="AC56" t="s">
        <v>1821</v>
      </c>
      <c r="AD56" s="75" t="s">
        <v>5146</v>
      </c>
      <c r="AE56" s="75" t="s">
        <v>5147</v>
      </c>
      <c r="AF56" s="75" t="s">
        <v>5168</v>
      </c>
      <c r="AG56" s="75" t="s">
        <v>5178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70"/>
        <v>Ostali prihodi za posebne namjene</v>
      </c>
      <c r="E57" s="85">
        <v>3227</v>
      </c>
      <c r="F57" s="80" t="str">
        <f t="shared" si="1"/>
        <v>Službena, radna i zaštitna odjeća i obuća</v>
      </c>
      <c r="G57" s="118" t="s">
        <v>187</v>
      </c>
      <c r="H57" s="80" t="str">
        <f t="shared" si="2"/>
        <v>REDOVNA DJELATNOST VELEUČILIŠTA I VISOKIH ŠKOLA (IZ EVIDENCIJSKIH PRIHODA)</v>
      </c>
      <c r="I57" s="80" t="str">
        <f t="shared" si="3"/>
        <v>0942</v>
      </c>
      <c r="J57" s="117"/>
      <c r="K57" s="117">
        <v>533</v>
      </c>
      <c r="L57" s="117"/>
      <c r="M57" s="84"/>
      <c r="O57" s="75" t="str">
        <f t="shared" si="4"/>
        <v>322</v>
      </c>
      <c r="P57" s="75" t="str">
        <f t="shared" si="5"/>
        <v>32</v>
      </c>
      <c r="Q57" s="75" t="str">
        <f t="shared" si="6"/>
        <v>43</v>
      </c>
      <c r="R57" s="75" t="str">
        <f t="shared" si="7"/>
        <v>94</v>
      </c>
      <c r="V57" s="75">
        <v>3241</v>
      </c>
      <c r="W57" s="75" t="s">
        <v>80</v>
      </c>
      <c r="Y57" s="290" t="str">
        <f t="shared" si="24"/>
        <v>32</v>
      </c>
      <c r="Z57" s="75" t="str">
        <f t="shared" si="25"/>
        <v>324</v>
      </c>
      <c r="AB57" t="s">
        <v>1822</v>
      </c>
      <c r="AC57" t="s">
        <v>1823</v>
      </c>
      <c r="AD57" s="75" t="s">
        <v>5144</v>
      </c>
      <c r="AE57" s="75" t="s">
        <v>5145</v>
      </c>
      <c r="AF57" s="75" t="s">
        <v>5170</v>
      </c>
      <c r="AG57" s="75" t="s">
        <v>5171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70"/>
        <v>Ostali prihodi za posebne namjene</v>
      </c>
      <c r="E58" s="85">
        <v>3231</v>
      </c>
      <c r="F58" s="80" t="str">
        <f t="shared" si="1"/>
        <v>Usluge telefona, pošte i prijevoza</v>
      </c>
      <c r="G58" s="118" t="s">
        <v>187</v>
      </c>
      <c r="H58" s="80" t="str">
        <f t="shared" si="2"/>
        <v>REDOVNA DJELATNOST VELEUČILIŠTA I VISOKIH ŠKOLA (IZ EVIDENCIJSKIH PRIHODA)</v>
      </c>
      <c r="I58" s="80" t="str">
        <f t="shared" si="3"/>
        <v>0942</v>
      </c>
      <c r="J58" s="117">
        <v>1349.6799999999998</v>
      </c>
      <c r="K58" s="117">
        <v>13333</v>
      </c>
      <c r="L58" s="117">
        <v>1355.369999999999</v>
      </c>
      <c r="M58" s="84"/>
      <c r="O58" s="75" t="str">
        <f t="shared" si="4"/>
        <v>323</v>
      </c>
      <c r="P58" s="75" t="str">
        <f t="shared" si="5"/>
        <v>32</v>
      </c>
      <c r="Q58" s="75" t="str">
        <f t="shared" si="6"/>
        <v>43</v>
      </c>
      <c r="R58" s="75" t="str">
        <f t="shared" si="7"/>
        <v>94</v>
      </c>
      <c r="V58" s="75">
        <v>3291</v>
      </c>
      <c r="W58" s="75" t="s">
        <v>81</v>
      </c>
      <c r="Y58" s="290" t="str">
        <f t="shared" si="24"/>
        <v>32</v>
      </c>
      <c r="Z58" s="75" t="str">
        <f t="shared" si="25"/>
        <v>329</v>
      </c>
      <c r="AB58" t="s">
        <v>1824</v>
      </c>
      <c r="AC58" t="s">
        <v>1825</v>
      </c>
      <c r="AD58" s="75" t="s">
        <v>5144</v>
      </c>
      <c r="AE58" s="75" t="s">
        <v>5145</v>
      </c>
      <c r="AF58" s="75" t="s">
        <v>5170</v>
      </c>
      <c r="AG58" s="75" t="s">
        <v>5171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70"/>
        <v>Ostali prihodi za posebne namjene</v>
      </c>
      <c r="E59" s="85">
        <v>3232</v>
      </c>
      <c r="F59" s="80" t="str">
        <f t="shared" si="1"/>
        <v>Usluge tekućeg i investicijskog održavanja</v>
      </c>
      <c r="G59" s="118" t="s">
        <v>187</v>
      </c>
      <c r="H59" s="80" t="str">
        <f t="shared" si="2"/>
        <v>REDOVNA DJELATNOST VELEUČILIŠTA I VISOKIH ŠKOLA (IZ EVIDENCIJSKIH PRIHODA)</v>
      </c>
      <c r="I59" s="80" t="str">
        <f t="shared" si="3"/>
        <v>0942</v>
      </c>
      <c r="J59" s="117">
        <v>19.900000000000546</v>
      </c>
      <c r="K59" s="117"/>
      <c r="L59" s="117">
        <v>73.010000000000005</v>
      </c>
      <c r="M59" s="84"/>
      <c r="O59" s="75" t="str">
        <f t="shared" ref="O59" si="75">LEFT(E59,3)</f>
        <v>323</v>
      </c>
      <c r="P59" s="75" t="str">
        <f t="shared" ref="P59" si="76">LEFT(E59,2)</f>
        <v>32</v>
      </c>
      <c r="Q59" s="75" t="str">
        <f t="shared" ref="Q59" si="77">LEFT(C59,3)</f>
        <v>43</v>
      </c>
      <c r="R59" s="75" t="str">
        <f t="shared" ref="R59" si="78">MID(I59,2,2)</f>
        <v>94</v>
      </c>
      <c r="AB59"/>
      <c r="AC59"/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70"/>
        <v>Ostali prihodi za posebne namjene</v>
      </c>
      <c r="E60" s="85">
        <v>3233</v>
      </c>
      <c r="F60" s="80" t="str">
        <f t="shared" si="1"/>
        <v>Usluge promidžbe i informiranja</v>
      </c>
      <c r="G60" s="118" t="s">
        <v>187</v>
      </c>
      <c r="H60" s="80" t="str">
        <f t="shared" si="2"/>
        <v>REDOVNA DJELATNOST VELEUČILIŠTA I VISOKIH ŠKOLA (IZ EVIDENCIJSKIH PRIHODA)</v>
      </c>
      <c r="I60" s="80" t="str">
        <f t="shared" si="3"/>
        <v>0942</v>
      </c>
      <c r="J60" s="117">
        <v>2287.15</v>
      </c>
      <c r="K60" s="117">
        <v>4000</v>
      </c>
      <c r="L60" s="117">
        <v>3280.36</v>
      </c>
      <c r="M60" s="84"/>
      <c r="O60" s="75" t="str">
        <f t="shared" si="4"/>
        <v>323</v>
      </c>
      <c r="P60" s="75" t="str">
        <f t="shared" si="5"/>
        <v>32</v>
      </c>
      <c r="Q60" s="75" t="str">
        <f t="shared" si="6"/>
        <v>43</v>
      </c>
      <c r="R60" s="75" t="str">
        <f t="shared" si="7"/>
        <v>94</v>
      </c>
      <c r="V60" s="75">
        <v>3292</v>
      </c>
      <c r="W60" s="75" t="s">
        <v>74</v>
      </c>
      <c r="Y60" s="290" t="str">
        <f t="shared" si="24"/>
        <v>32</v>
      </c>
      <c r="Z60" s="75" t="str">
        <f t="shared" si="25"/>
        <v>329</v>
      </c>
      <c r="AB60" t="s">
        <v>1826</v>
      </c>
      <c r="AC60" t="s">
        <v>1827</v>
      </c>
      <c r="AD60" s="75" t="s">
        <v>5146</v>
      </c>
      <c r="AE60" s="75" t="s">
        <v>5147</v>
      </c>
      <c r="AF60" s="75" t="s">
        <v>5168</v>
      </c>
      <c r="AG60" s="75" t="s">
        <v>5178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70"/>
        <v>Ostali prihodi za posebne namjene</v>
      </c>
      <c r="E61" s="85">
        <v>3234</v>
      </c>
      <c r="F61" s="80" t="str">
        <f t="shared" si="1"/>
        <v>Komunalne usluge</v>
      </c>
      <c r="G61" s="118" t="s">
        <v>187</v>
      </c>
      <c r="H61" s="80" t="str">
        <f t="shared" si="2"/>
        <v>REDOVNA DJELATNOST VELEUČILIŠTA I VISOKIH ŠKOLA (IZ EVIDENCIJSKIH PRIHODA)</v>
      </c>
      <c r="I61" s="80" t="str">
        <f t="shared" si="3"/>
        <v>0942</v>
      </c>
      <c r="J61" s="117">
        <v>437.03</v>
      </c>
      <c r="K61" s="117">
        <v>6000</v>
      </c>
      <c r="L61" s="117">
        <v>976.46</v>
      </c>
      <c r="M61" s="84"/>
      <c r="O61" s="75" t="str">
        <f t="shared" si="4"/>
        <v>323</v>
      </c>
      <c r="P61" s="75" t="str">
        <f t="shared" si="5"/>
        <v>32</v>
      </c>
      <c r="Q61" s="75" t="str">
        <f t="shared" si="6"/>
        <v>43</v>
      </c>
      <c r="R61" s="75" t="str">
        <f t="shared" si="7"/>
        <v>94</v>
      </c>
      <c r="V61" s="75">
        <v>3293</v>
      </c>
      <c r="W61" s="75" t="s">
        <v>84</v>
      </c>
      <c r="Y61" s="290" t="str">
        <f t="shared" si="24"/>
        <v>32</v>
      </c>
      <c r="Z61" s="75" t="str">
        <f t="shared" si="25"/>
        <v>329</v>
      </c>
      <c r="AB61" t="s">
        <v>1828</v>
      </c>
      <c r="AC61" t="s">
        <v>1829</v>
      </c>
      <c r="AD61" s="75" t="s">
        <v>5144</v>
      </c>
      <c r="AE61" s="75" t="s">
        <v>5145</v>
      </c>
      <c r="AF61" s="75" t="s">
        <v>5170</v>
      </c>
      <c r="AG61" s="75" t="s">
        <v>5171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70"/>
        <v>Ostali prihodi za posebne namjene</v>
      </c>
      <c r="E62" s="85">
        <v>3235</v>
      </c>
      <c r="F62" s="80" t="str">
        <f t="shared" si="1"/>
        <v>Zakupnine i najamnine</v>
      </c>
      <c r="G62" s="118" t="s">
        <v>187</v>
      </c>
      <c r="H62" s="80" t="str">
        <f t="shared" si="2"/>
        <v>REDOVNA DJELATNOST VELEUČILIŠTA I VISOKIH ŠKOLA (IZ EVIDENCIJSKIH PRIHODA)</v>
      </c>
      <c r="I62" s="80" t="str">
        <f t="shared" si="3"/>
        <v>0942</v>
      </c>
      <c r="J62" s="117">
        <v>2674.82</v>
      </c>
      <c r="K62" s="117">
        <v>12000</v>
      </c>
      <c r="L62" s="117">
        <v>3819.5699999999979</v>
      </c>
      <c r="M62" s="84"/>
      <c r="O62" s="75" t="str">
        <f t="shared" si="4"/>
        <v>323</v>
      </c>
      <c r="P62" s="75" t="str">
        <f t="shared" si="5"/>
        <v>32</v>
      </c>
      <c r="Q62" s="75" t="str">
        <f t="shared" si="6"/>
        <v>43</v>
      </c>
      <c r="R62" s="75" t="str">
        <f t="shared" si="7"/>
        <v>94</v>
      </c>
      <c r="V62" s="75">
        <v>3293</v>
      </c>
      <c r="W62" s="75" t="s">
        <v>131</v>
      </c>
      <c r="Y62" s="290" t="str">
        <f t="shared" si="24"/>
        <v>32</v>
      </c>
      <c r="Z62" s="75" t="str">
        <f t="shared" si="25"/>
        <v>329</v>
      </c>
      <c r="AB62" t="s">
        <v>1625</v>
      </c>
      <c r="AC62" t="s">
        <v>1626</v>
      </c>
      <c r="AD62" s="75" t="s">
        <v>5146</v>
      </c>
      <c r="AE62" s="75" t="s">
        <v>5147</v>
      </c>
      <c r="AF62" s="75" t="s">
        <v>5168</v>
      </c>
      <c r="AG62" s="75" t="s">
        <v>5178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ref="D63" si="79">IFERROR(VLOOKUP(C63,$S$7:$T$48,2,FALSE),"")</f>
        <v>Ostali prihodi za posebne namjene</v>
      </c>
      <c r="E63" s="85">
        <v>3236</v>
      </c>
      <c r="F63" s="80" t="str">
        <f t="shared" si="1"/>
        <v>Zdravstvene i veterinarske usluge</v>
      </c>
      <c r="G63" s="118" t="s">
        <v>187</v>
      </c>
      <c r="H63" s="80" t="str">
        <f t="shared" si="2"/>
        <v>REDOVNA DJELATNOST VELEUČILIŠTA I VISOKIH ŠKOLA (IZ EVIDENCIJSKIH PRIHODA)</v>
      </c>
      <c r="I63" s="80" t="str">
        <f t="shared" si="3"/>
        <v>0942</v>
      </c>
      <c r="J63" s="117">
        <v>173</v>
      </c>
      <c r="K63" s="117"/>
      <c r="L63" s="117"/>
      <c r="M63" s="84"/>
      <c r="O63" s="75" t="str">
        <f t="shared" ref="O63" si="80">LEFT(E63,3)</f>
        <v>323</v>
      </c>
      <c r="P63" s="75" t="str">
        <f t="shared" ref="P63" si="81">LEFT(E63,2)</f>
        <v>32</v>
      </c>
      <c r="Q63" s="75" t="str">
        <f t="shared" ref="Q63" si="82">LEFT(C63,3)</f>
        <v>43</v>
      </c>
      <c r="R63" s="75" t="str">
        <f t="shared" ref="R63" si="83">MID(I63,2,2)</f>
        <v>94</v>
      </c>
      <c r="AB63"/>
      <c r="AC63"/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70"/>
        <v>Ostali prihodi za posebne namjene</v>
      </c>
      <c r="E64" s="85">
        <v>3237</v>
      </c>
      <c r="F64" s="80" t="str">
        <f t="shared" si="1"/>
        <v>Intelektualne i osobne usluge</v>
      </c>
      <c r="G64" s="118" t="s">
        <v>187</v>
      </c>
      <c r="H64" s="80" t="str">
        <f t="shared" si="2"/>
        <v>REDOVNA DJELATNOST VELEUČILIŠTA I VISOKIH ŠKOLA (IZ EVIDENCIJSKIH PRIHODA)</v>
      </c>
      <c r="I64" s="80" t="str">
        <f t="shared" si="3"/>
        <v>0942</v>
      </c>
      <c r="J64" s="117">
        <v>20740.39</v>
      </c>
      <c r="K64" s="117">
        <v>12000</v>
      </c>
      <c r="L64" s="117">
        <v>10426.340000000007</v>
      </c>
      <c r="M64" s="84"/>
      <c r="O64" s="75" t="str">
        <f t="shared" si="4"/>
        <v>323</v>
      </c>
      <c r="P64" s="75" t="str">
        <f t="shared" si="5"/>
        <v>32</v>
      </c>
      <c r="Q64" s="75" t="str">
        <f t="shared" si="6"/>
        <v>43</v>
      </c>
      <c r="R64" s="75" t="str">
        <f t="shared" si="7"/>
        <v>94</v>
      </c>
      <c r="V64" s="75">
        <v>3294</v>
      </c>
      <c r="W64" s="75" t="s">
        <v>85</v>
      </c>
      <c r="Y64" s="290" t="str">
        <f t="shared" si="24"/>
        <v>32</v>
      </c>
      <c r="Z64" s="75" t="str">
        <f t="shared" si="25"/>
        <v>329</v>
      </c>
      <c r="AB64" t="s">
        <v>1627</v>
      </c>
      <c r="AC64" t="s">
        <v>1628</v>
      </c>
      <c r="AD64" s="75" t="s">
        <v>5146</v>
      </c>
      <c r="AE64" s="75" t="s">
        <v>5147</v>
      </c>
      <c r="AF64" s="75" t="s">
        <v>5168</v>
      </c>
      <c r="AG64" s="75" t="s">
        <v>5178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70"/>
        <v>Ostali prihodi za posebne namjene</v>
      </c>
      <c r="E65" s="85">
        <v>3238</v>
      </c>
      <c r="F65" s="80" t="str">
        <f t="shared" si="1"/>
        <v>Računalne usluge</v>
      </c>
      <c r="G65" s="118" t="s">
        <v>187</v>
      </c>
      <c r="H65" s="80" t="str">
        <f t="shared" si="2"/>
        <v>REDOVNA DJELATNOST VELEUČILIŠTA I VISOKIH ŠKOLA (IZ EVIDENCIJSKIH PRIHODA)</v>
      </c>
      <c r="I65" s="80" t="str">
        <f t="shared" si="3"/>
        <v>0942</v>
      </c>
      <c r="J65" s="117">
        <v>439.62</v>
      </c>
      <c r="K65" s="117">
        <v>5333</v>
      </c>
      <c r="L65" s="117">
        <v>3893.12</v>
      </c>
      <c r="M65" s="84"/>
      <c r="O65" s="75" t="str">
        <f t="shared" si="4"/>
        <v>323</v>
      </c>
      <c r="P65" s="75" t="str">
        <f t="shared" si="5"/>
        <v>32</v>
      </c>
      <c r="Q65" s="75" t="str">
        <f t="shared" si="6"/>
        <v>43</v>
      </c>
      <c r="R65" s="75" t="str">
        <f t="shared" si="7"/>
        <v>94</v>
      </c>
      <c r="V65" s="75">
        <v>3295</v>
      </c>
      <c r="W65" s="75" t="s">
        <v>54</v>
      </c>
      <c r="Y65" s="290" t="str">
        <f t="shared" si="24"/>
        <v>32</v>
      </c>
      <c r="Z65" s="75" t="str">
        <f t="shared" si="25"/>
        <v>329</v>
      </c>
      <c r="AB65" t="s">
        <v>1830</v>
      </c>
      <c r="AC65" t="s">
        <v>1831</v>
      </c>
      <c r="AD65" s="75" t="s">
        <v>5146</v>
      </c>
      <c r="AE65" s="75" t="s">
        <v>5147</v>
      </c>
      <c r="AF65" s="75" t="s">
        <v>5168</v>
      </c>
      <c r="AG65" s="75" t="s">
        <v>5178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70"/>
        <v>Ostali prihodi za posebne namjene</v>
      </c>
      <c r="E66" s="85">
        <v>3239</v>
      </c>
      <c r="F66" s="80" t="str">
        <f t="shared" si="1"/>
        <v>Ostale usluge</v>
      </c>
      <c r="G66" s="118" t="s">
        <v>187</v>
      </c>
      <c r="H66" s="80" t="str">
        <f t="shared" si="2"/>
        <v>REDOVNA DJELATNOST VELEUČILIŠTA I VISOKIH ŠKOLA (IZ EVIDENCIJSKIH PRIHODA)</v>
      </c>
      <c r="I66" s="80" t="str">
        <f t="shared" si="3"/>
        <v>0942</v>
      </c>
      <c r="J66" s="117">
        <v>5985.1500000000005</v>
      </c>
      <c r="K66" s="117">
        <v>2667</v>
      </c>
      <c r="L66" s="117">
        <v>4875.1900000000032</v>
      </c>
      <c r="M66" s="84"/>
      <c r="O66" s="75" t="str">
        <f t="shared" si="4"/>
        <v>323</v>
      </c>
      <c r="P66" s="75" t="str">
        <f t="shared" si="5"/>
        <v>32</v>
      </c>
      <c r="Q66" s="75" t="str">
        <f t="shared" si="6"/>
        <v>43</v>
      </c>
      <c r="R66" s="75" t="str">
        <f t="shared" si="7"/>
        <v>94</v>
      </c>
      <c r="V66" s="75">
        <v>3296</v>
      </c>
      <c r="W66" s="75" t="s">
        <v>148</v>
      </c>
      <c r="Y66" s="290" t="str">
        <f t="shared" si="24"/>
        <v>32</v>
      </c>
      <c r="Z66" s="75" t="str">
        <f t="shared" si="25"/>
        <v>329</v>
      </c>
      <c r="AB66" t="s">
        <v>1832</v>
      </c>
      <c r="AC66" t="s">
        <v>1833</v>
      </c>
      <c r="AD66" s="75" t="s">
        <v>5156</v>
      </c>
      <c r="AE66" s="75" t="s">
        <v>5157</v>
      </c>
      <c r="AF66" s="75" t="s">
        <v>5170</v>
      </c>
      <c r="AG66" s="75" t="s">
        <v>5183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si="70"/>
        <v>Ostali prihodi za posebne namjene</v>
      </c>
      <c r="E67" s="85">
        <v>3241</v>
      </c>
      <c r="F67" s="80" t="str">
        <f t="shared" si="1"/>
        <v>Naknade troškova osobama izvan radnog odnosa</v>
      </c>
      <c r="G67" s="118" t="s">
        <v>187</v>
      </c>
      <c r="H67" s="80" t="str">
        <f t="shared" si="2"/>
        <v>REDOVNA DJELATNOST VELEUČILIŠTA I VISOKIH ŠKOLA (IZ EVIDENCIJSKIH PRIHODA)</v>
      </c>
      <c r="I67" s="80" t="str">
        <f t="shared" si="3"/>
        <v>0942</v>
      </c>
      <c r="J67" s="117">
        <v>439.56</v>
      </c>
      <c r="K67" s="117">
        <v>6667</v>
      </c>
      <c r="L67" s="117">
        <v>2201.1499999999996</v>
      </c>
      <c r="M67" s="84"/>
      <c r="O67" s="75" t="str">
        <f t="shared" si="4"/>
        <v>324</v>
      </c>
      <c r="P67" s="75" t="str">
        <f t="shared" si="5"/>
        <v>32</v>
      </c>
      <c r="Q67" s="75" t="str">
        <f t="shared" si="6"/>
        <v>43</v>
      </c>
      <c r="R67" s="75" t="str">
        <f t="shared" si="7"/>
        <v>94</v>
      </c>
      <c r="V67" s="75">
        <v>3299</v>
      </c>
      <c r="W67" s="75" t="s">
        <v>57</v>
      </c>
      <c r="Y67" s="290" t="str">
        <f t="shared" si="24"/>
        <v>32</v>
      </c>
      <c r="Z67" s="75" t="str">
        <f t="shared" si="25"/>
        <v>329</v>
      </c>
      <c r="AB67" t="s">
        <v>1832</v>
      </c>
      <c r="AC67" t="s">
        <v>1833</v>
      </c>
      <c r="AD67" s="75" t="s">
        <v>5142</v>
      </c>
      <c r="AE67" s="75" t="s">
        <v>5143</v>
      </c>
      <c r="AF67" s="75" t="s">
        <v>5168</v>
      </c>
      <c r="AG67" s="75" t="s">
        <v>5175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70"/>
        <v>Ostali prihodi za posebne namjene</v>
      </c>
      <c r="E68" s="85">
        <v>3291</v>
      </c>
      <c r="F68" s="80" t="str">
        <f t="shared" si="1"/>
        <v>Naknade za rad predstavničkih i izvršnih tijela, povjerensta</v>
      </c>
      <c r="G68" s="118" t="s">
        <v>187</v>
      </c>
      <c r="H68" s="80" t="str">
        <f t="shared" si="2"/>
        <v>REDOVNA DJELATNOST VELEUČILIŠTA I VISOKIH ŠKOLA (IZ EVIDENCIJSKIH PRIHODA)</v>
      </c>
      <c r="I68" s="80" t="str">
        <f t="shared" si="3"/>
        <v>0942</v>
      </c>
      <c r="J68" s="117">
        <v>3670</v>
      </c>
      <c r="K68" s="117">
        <v>22667</v>
      </c>
      <c r="L68" s="117">
        <v>1835.2599999999989</v>
      </c>
      <c r="M68" s="84"/>
      <c r="O68" s="75" t="str">
        <f t="shared" si="4"/>
        <v>329</v>
      </c>
      <c r="P68" s="75" t="str">
        <f t="shared" si="5"/>
        <v>32</v>
      </c>
      <c r="Q68" s="75" t="str">
        <f t="shared" si="6"/>
        <v>43</v>
      </c>
      <c r="R68" s="75" t="str">
        <f t="shared" si="7"/>
        <v>94</v>
      </c>
      <c r="V68" s="75">
        <v>3411</v>
      </c>
      <c r="W68" s="75" t="s">
        <v>186</v>
      </c>
      <c r="Y68" s="290" t="str">
        <f t="shared" si="24"/>
        <v>34</v>
      </c>
      <c r="Z68" s="75" t="str">
        <f t="shared" si="25"/>
        <v>341</v>
      </c>
      <c r="AB68" t="s">
        <v>1834</v>
      </c>
      <c r="AC68" t="s">
        <v>1835</v>
      </c>
      <c r="AD68" s="75" t="s">
        <v>5142</v>
      </c>
      <c r="AE68" s="75" t="s">
        <v>5143</v>
      </c>
      <c r="AF68" s="75" t="s">
        <v>5168</v>
      </c>
      <c r="AG68" s="75" t="s">
        <v>5175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70"/>
        <v>Ostali prihodi za posebne namjene</v>
      </c>
      <c r="E69" s="85">
        <v>3292</v>
      </c>
      <c r="F69" s="80" t="str">
        <f t="shared" ref="F69:F132" si="84">IFERROR(VLOOKUP(E69,$V$5:$X$203,2,FALSE),"")</f>
        <v>Premije osiguranja</v>
      </c>
      <c r="G69" s="118" t="s">
        <v>187</v>
      </c>
      <c r="H69" s="80" t="str">
        <f t="shared" ref="H69:H132" si="85">IFERROR(VLOOKUP(G69,$AB$7:$AC$401,2,FALSE),"")</f>
        <v>REDOVNA DJELATNOST VELEUČILIŠTA I VISOKIH ŠKOLA (IZ EVIDENCIJSKIH PRIHODA)</v>
      </c>
      <c r="I69" s="80" t="str">
        <f t="shared" ref="I69:I132" si="86">IFERROR(VLOOKUP(G69,$AB$7:$AF$401,3,FALSE),"")</f>
        <v>0942</v>
      </c>
      <c r="J69" s="117"/>
      <c r="K69" s="117">
        <v>26400</v>
      </c>
      <c r="L69" s="117">
        <v>3449.87</v>
      </c>
      <c r="M69" s="84"/>
      <c r="O69" s="75" t="str">
        <f t="shared" si="4"/>
        <v>329</v>
      </c>
      <c r="P69" s="75" t="str">
        <f t="shared" si="5"/>
        <v>32</v>
      </c>
      <c r="Q69" s="75" t="str">
        <f t="shared" si="6"/>
        <v>43</v>
      </c>
      <c r="R69" s="75" t="str">
        <f t="shared" si="7"/>
        <v>94</v>
      </c>
      <c r="V69" s="75">
        <v>3422</v>
      </c>
      <c r="W69" s="75" t="s">
        <v>149</v>
      </c>
      <c r="Y69" s="290" t="str">
        <f t="shared" si="24"/>
        <v>34</v>
      </c>
      <c r="Z69" s="75" t="str">
        <f t="shared" si="25"/>
        <v>342</v>
      </c>
      <c r="AB69" t="s">
        <v>1836</v>
      </c>
      <c r="AC69" t="s">
        <v>1837</v>
      </c>
      <c r="AD69" s="75" t="s">
        <v>5146</v>
      </c>
      <c r="AE69" s="75" t="s">
        <v>5147</v>
      </c>
      <c r="AF69" s="75" t="s">
        <v>5168</v>
      </c>
      <c r="AG69" s="75" t="s">
        <v>5178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70"/>
        <v>Ostali prihodi za posebne namjene</v>
      </c>
      <c r="E70" s="85">
        <v>3293</v>
      </c>
      <c r="F70" s="80" t="str">
        <f t="shared" si="84"/>
        <v>Reprezentacija</v>
      </c>
      <c r="G70" s="118" t="s">
        <v>187</v>
      </c>
      <c r="H70" s="80" t="str">
        <f t="shared" si="85"/>
        <v>REDOVNA DJELATNOST VELEUČILIŠTA I VISOKIH ŠKOLA (IZ EVIDENCIJSKIH PRIHODA)</v>
      </c>
      <c r="I70" s="80" t="str">
        <f t="shared" si="86"/>
        <v>0942</v>
      </c>
      <c r="J70" s="117">
        <v>680.75</v>
      </c>
      <c r="K70" s="117">
        <v>13333</v>
      </c>
      <c r="L70" s="117">
        <v>1103.93</v>
      </c>
      <c r="M70" s="84"/>
      <c r="O70" s="75" t="str">
        <f t="shared" si="4"/>
        <v>329</v>
      </c>
      <c r="P70" s="75" t="str">
        <f t="shared" si="5"/>
        <v>32</v>
      </c>
      <c r="Q70" s="75" t="str">
        <f t="shared" si="6"/>
        <v>43</v>
      </c>
      <c r="R70" s="75" t="str">
        <f t="shared" si="7"/>
        <v>94</v>
      </c>
      <c r="V70" s="75">
        <v>3423</v>
      </c>
      <c r="W70" s="75" t="s">
        <v>149</v>
      </c>
      <c r="Y70" s="290" t="str">
        <f t="shared" ref="Y70:Y147" si="87">LEFT(V70,2)</f>
        <v>34</v>
      </c>
      <c r="Z70" s="75" t="str">
        <f t="shared" ref="Z70:Z147" si="88">LEFT(V70,3)</f>
        <v>342</v>
      </c>
      <c r="AB70" t="s">
        <v>1838</v>
      </c>
      <c r="AC70" t="s">
        <v>933</v>
      </c>
      <c r="AD70" s="75" t="s">
        <v>5156</v>
      </c>
      <c r="AE70" s="75" t="s">
        <v>5157</v>
      </c>
      <c r="AF70" s="75" t="s">
        <v>5170</v>
      </c>
      <c r="AG70" s="75" t="s">
        <v>5183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70"/>
        <v>Ostali prihodi za posebne namjene</v>
      </c>
      <c r="E71" s="85">
        <v>3294</v>
      </c>
      <c r="F71" s="80" t="str">
        <f t="shared" si="84"/>
        <v>Članarine i norme</v>
      </c>
      <c r="G71" s="118" t="s">
        <v>187</v>
      </c>
      <c r="H71" s="80" t="str">
        <f t="shared" si="85"/>
        <v>REDOVNA DJELATNOST VELEUČILIŠTA I VISOKIH ŠKOLA (IZ EVIDENCIJSKIH PRIHODA)</v>
      </c>
      <c r="I71" s="80" t="str">
        <f t="shared" si="86"/>
        <v>0942</v>
      </c>
      <c r="J71" s="117">
        <v>46.45</v>
      </c>
      <c r="K71" s="117">
        <v>4000</v>
      </c>
      <c r="L71" s="117">
        <v>16.73</v>
      </c>
      <c r="M71" s="84"/>
      <c r="O71" s="75" t="str">
        <f t="shared" si="4"/>
        <v>329</v>
      </c>
      <c r="P71" s="75" t="str">
        <f t="shared" si="5"/>
        <v>32</v>
      </c>
      <c r="Q71" s="75" t="str">
        <f t="shared" si="6"/>
        <v>43</v>
      </c>
      <c r="R71" s="75" t="str">
        <f t="shared" si="7"/>
        <v>94</v>
      </c>
      <c r="V71" s="75">
        <v>3427</v>
      </c>
      <c r="W71" s="75" t="s">
        <v>188</v>
      </c>
      <c r="Y71" s="290" t="str">
        <f t="shared" si="87"/>
        <v>34</v>
      </c>
      <c r="Z71" s="75" t="str">
        <f t="shared" si="88"/>
        <v>342</v>
      </c>
      <c r="AB71" t="s">
        <v>1838</v>
      </c>
      <c r="AC71" t="s">
        <v>933</v>
      </c>
      <c r="AD71" s="75" t="s">
        <v>5142</v>
      </c>
      <c r="AE71" s="75" t="s">
        <v>5143</v>
      </c>
      <c r="AF71" s="75" t="s">
        <v>5168</v>
      </c>
      <c r="AG71" s="75" t="s">
        <v>5175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70"/>
        <v>Ostali prihodi za posebne namjene</v>
      </c>
      <c r="E72" s="85">
        <v>3295</v>
      </c>
      <c r="F72" s="80" t="str">
        <f t="shared" si="84"/>
        <v>Pristojbe i naknade</v>
      </c>
      <c r="G72" s="118" t="s">
        <v>187</v>
      </c>
      <c r="H72" s="80" t="str">
        <f t="shared" si="85"/>
        <v>REDOVNA DJELATNOST VELEUČILIŠTA I VISOKIH ŠKOLA (IZ EVIDENCIJSKIH PRIHODA)</v>
      </c>
      <c r="I72" s="80" t="str">
        <f t="shared" si="86"/>
        <v>0942</v>
      </c>
      <c r="J72" s="117"/>
      <c r="K72" s="117">
        <v>2000</v>
      </c>
      <c r="L72" s="117">
        <v>824.43</v>
      </c>
      <c r="M72" s="84"/>
      <c r="O72" s="75" t="str">
        <f t="shared" si="4"/>
        <v>329</v>
      </c>
      <c r="P72" s="75" t="str">
        <f t="shared" si="5"/>
        <v>32</v>
      </c>
      <c r="Q72" s="75" t="str">
        <f t="shared" si="6"/>
        <v>43</v>
      </c>
      <c r="R72" s="75" t="str">
        <f t="shared" si="7"/>
        <v>94</v>
      </c>
      <c r="V72" s="75">
        <v>3431</v>
      </c>
      <c r="W72" s="75" t="s">
        <v>82</v>
      </c>
      <c r="Y72" s="290" t="str">
        <f t="shared" si="87"/>
        <v>34</v>
      </c>
      <c r="Z72" s="75" t="str">
        <f t="shared" si="88"/>
        <v>343</v>
      </c>
      <c r="AB72" t="s">
        <v>1629</v>
      </c>
      <c r="AC72" t="s">
        <v>1630</v>
      </c>
      <c r="AD72" s="75" t="s">
        <v>5142</v>
      </c>
      <c r="AE72" s="75" t="s">
        <v>5143</v>
      </c>
      <c r="AF72" s="75" t="s">
        <v>5168</v>
      </c>
      <c r="AG72" s="75" t="s">
        <v>5175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si="70"/>
        <v>Ostali prihodi za posebne namjene</v>
      </c>
      <c r="E73" s="85">
        <v>3299</v>
      </c>
      <c r="F73" s="80" t="str">
        <f t="shared" si="84"/>
        <v>Ostali nespomenuti rashodi poslovanja</v>
      </c>
      <c r="G73" s="118" t="s">
        <v>187</v>
      </c>
      <c r="H73" s="80" t="str">
        <f t="shared" si="85"/>
        <v>REDOVNA DJELATNOST VELEUČILIŠTA I VISOKIH ŠKOLA (IZ EVIDENCIJSKIH PRIHODA)</v>
      </c>
      <c r="I73" s="80" t="str">
        <f t="shared" si="86"/>
        <v>0942</v>
      </c>
      <c r="J73" s="117">
        <v>133</v>
      </c>
      <c r="K73" s="117">
        <v>9333</v>
      </c>
      <c r="L73" s="117">
        <v>22264</v>
      </c>
      <c r="M73" s="84"/>
      <c r="O73" s="75" t="str">
        <f t="shared" si="4"/>
        <v>329</v>
      </c>
      <c r="P73" s="75" t="str">
        <f t="shared" si="5"/>
        <v>32</v>
      </c>
      <c r="Q73" s="75" t="str">
        <f t="shared" si="6"/>
        <v>43</v>
      </c>
      <c r="R73" s="75" t="str">
        <f t="shared" si="7"/>
        <v>94</v>
      </c>
      <c r="V73" s="75">
        <v>3432</v>
      </c>
      <c r="W73" s="75" t="s">
        <v>98</v>
      </c>
      <c r="Y73" s="290" t="str">
        <f t="shared" si="87"/>
        <v>34</v>
      </c>
      <c r="Z73" s="75" t="str">
        <f t="shared" si="88"/>
        <v>343</v>
      </c>
      <c r="AB73" t="s">
        <v>1839</v>
      </c>
      <c r="AC73" t="s">
        <v>1840</v>
      </c>
      <c r="AD73" s="75" t="s">
        <v>5156</v>
      </c>
      <c r="AE73" s="75" t="s">
        <v>5157</v>
      </c>
      <c r="AF73" s="75" t="s">
        <v>5170</v>
      </c>
      <c r="AG73" s="75" t="s">
        <v>5183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70"/>
        <v>Ostali prihodi za posebne namjene</v>
      </c>
      <c r="E74" s="85">
        <v>3431</v>
      </c>
      <c r="F74" s="80" t="str">
        <f t="shared" si="84"/>
        <v>Bankarske usluge i usluge platnog prometa</v>
      </c>
      <c r="G74" s="118" t="s">
        <v>187</v>
      </c>
      <c r="H74" s="80" t="str">
        <f t="shared" si="85"/>
        <v>REDOVNA DJELATNOST VELEUČILIŠTA I VISOKIH ŠKOLA (IZ EVIDENCIJSKIH PRIHODA)</v>
      </c>
      <c r="I74" s="80" t="str">
        <f t="shared" si="86"/>
        <v>0942</v>
      </c>
      <c r="J74" s="117">
        <v>578</v>
      </c>
      <c r="K74" s="117">
        <v>1333</v>
      </c>
      <c r="L74" s="117">
        <v>452.20000000000005</v>
      </c>
      <c r="M74" s="84"/>
      <c r="O74" s="75" t="str">
        <f t="shared" si="4"/>
        <v>343</v>
      </c>
      <c r="P74" s="75" t="str">
        <f t="shared" si="5"/>
        <v>34</v>
      </c>
      <c r="Q74" s="75" t="str">
        <f t="shared" si="6"/>
        <v>43</v>
      </c>
      <c r="R74" s="75" t="str">
        <f t="shared" si="7"/>
        <v>94</v>
      </c>
      <c r="V74" s="75">
        <v>3433</v>
      </c>
      <c r="W74" s="75" t="s">
        <v>136</v>
      </c>
      <c r="Y74" s="290" t="str">
        <f t="shared" si="87"/>
        <v>34</v>
      </c>
      <c r="Z74" s="75" t="str">
        <f t="shared" si="88"/>
        <v>343</v>
      </c>
      <c r="AB74" t="s">
        <v>1839</v>
      </c>
      <c r="AC74" t="s">
        <v>1840</v>
      </c>
      <c r="AD74" s="75" t="s">
        <v>5158</v>
      </c>
      <c r="AE74" s="75" t="s">
        <v>5159</v>
      </c>
      <c r="AF74" s="75" t="s">
        <v>5168</v>
      </c>
      <c r="AG74" s="75" t="s">
        <v>5179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70"/>
        <v>Ostali prihodi za posebne namjene</v>
      </c>
      <c r="E75" s="85">
        <v>3432</v>
      </c>
      <c r="F75" s="80" t="str">
        <f t="shared" si="84"/>
        <v>Negativne tečajne razlike i razlike zbog primjene valutne kl</v>
      </c>
      <c r="G75" s="118" t="s">
        <v>187</v>
      </c>
      <c r="H75" s="80" t="str">
        <f t="shared" si="85"/>
        <v>REDOVNA DJELATNOST VELEUČILIŠTA I VISOKIH ŠKOLA (IZ EVIDENCIJSKIH PRIHODA)</v>
      </c>
      <c r="I75" s="80" t="str">
        <f t="shared" si="86"/>
        <v>0942</v>
      </c>
      <c r="J75" s="117">
        <v>13.81</v>
      </c>
      <c r="K75" s="117"/>
      <c r="L75" s="117"/>
      <c r="M75" s="84"/>
      <c r="O75" s="75" t="str">
        <f t="shared" ref="O75:O76" si="89">LEFT(E75,3)</f>
        <v>343</v>
      </c>
      <c r="P75" s="75" t="str">
        <f t="shared" ref="P75:P76" si="90">LEFT(E75,2)</f>
        <v>34</v>
      </c>
      <c r="Q75" s="75" t="str">
        <f t="shared" ref="Q75:Q76" si="91">LEFT(C75,3)</f>
        <v>43</v>
      </c>
      <c r="R75" s="75" t="str">
        <f t="shared" ref="R75:R76" si="92">MID(I75,2,2)</f>
        <v>94</v>
      </c>
      <c r="AB75"/>
      <c r="AC75"/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si="70"/>
        <v>Ostali prihodi za posebne namjene</v>
      </c>
      <c r="E76" s="85">
        <v>3433</v>
      </c>
      <c r="F76" s="80" t="str">
        <f t="shared" si="84"/>
        <v>Zatezne kamate</v>
      </c>
      <c r="G76" s="118" t="s">
        <v>187</v>
      </c>
      <c r="H76" s="80" t="str">
        <f t="shared" si="85"/>
        <v>REDOVNA DJELATNOST VELEUČILIŠTA I VISOKIH ŠKOLA (IZ EVIDENCIJSKIH PRIHODA)</v>
      </c>
      <c r="I76" s="80" t="str">
        <f t="shared" si="86"/>
        <v>0942</v>
      </c>
      <c r="J76" s="117">
        <v>317.10000000000002</v>
      </c>
      <c r="K76" s="117"/>
      <c r="L76" s="117"/>
      <c r="M76" s="84"/>
      <c r="O76" s="75" t="str">
        <f t="shared" si="89"/>
        <v>343</v>
      </c>
      <c r="P76" s="75" t="str">
        <f t="shared" si="90"/>
        <v>34</v>
      </c>
      <c r="Q76" s="75" t="str">
        <f t="shared" si="91"/>
        <v>43</v>
      </c>
      <c r="R76" s="75" t="str">
        <f t="shared" si="92"/>
        <v>94</v>
      </c>
      <c r="AB76"/>
      <c r="AC76"/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70"/>
        <v>Ostali prihodi za posebne namjene</v>
      </c>
      <c r="E77" s="85">
        <v>3721</v>
      </c>
      <c r="F77" s="80" t="str">
        <f t="shared" si="84"/>
        <v>Naknade građanima i kućanstvima u novcu</v>
      </c>
      <c r="G77" s="118" t="s">
        <v>187</v>
      </c>
      <c r="H77" s="80" t="str">
        <f t="shared" si="85"/>
        <v>REDOVNA DJELATNOST VELEUČILIŠTA I VISOKIH ŠKOLA (IZ EVIDENCIJSKIH PRIHODA)</v>
      </c>
      <c r="I77" s="80" t="str">
        <f t="shared" si="86"/>
        <v>0942</v>
      </c>
      <c r="J77" s="117"/>
      <c r="K77" s="117"/>
      <c r="L77" s="117">
        <v>6151.13</v>
      </c>
      <c r="M77" s="84"/>
      <c r="O77" s="75" t="str">
        <f t="shared" ref="O77" si="93">LEFT(E77,3)</f>
        <v>372</v>
      </c>
      <c r="P77" s="75" t="str">
        <f t="shared" ref="P77" si="94">LEFT(E77,2)</f>
        <v>37</v>
      </c>
      <c r="Q77" s="75" t="str">
        <f t="shared" ref="Q77" si="95">LEFT(C77,3)</f>
        <v>43</v>
      </c>
      <c r="R77" s="75" t="str">
        <f t="shared" ref="R77" si="96">MID(I77,2,2)</f>
        <v>94</v>
      </c>
      <c r="AB77"/>
      <c r="AC77"/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43</v>
      </c>
      <c r="D78" s="80" t="str">
        <f t="shared" si="70"/>
        <v>Ostali prihodi za posebne namjene</v>
      </c>
      <c r="E78" s="85">
        <v>3811</v>
      </c>
      <c r="F78" s="80" t="str">
        <f t="shared" si="84"/>
        <v>Tekuće donacije u novcu</v>
      </c>
      <c r="G78" s="118" t="s">
        <v>187</v>
      </c>
      <c r="H78" s="80" t="str">
        <f t="shared" si="85"/>
        <v>REDOVNA DJELATNOST VELEUČILIŠTA I VISOKIH ŠKOLA (IZ EVIDENCIJSKIH PRIHODA)</v>
      </c>
      <c r="I78" s="80" t="str">
        <f t="shared" si="86"/>
        <v>0942</v>
      </c>
      <c r="J78" s="117">
        <v>525.58000000000004</v>
      </c>
      <c r="K78" s="117">
        <v>2667</v>
      </c>
      <c r="L78" s="117"/>
      <c r="M78" s="84"/>
      <c r="O78" s="75" t="str">
        <f t="shared" si="4"/>
        <v>381</v>
      </c>
      <c r="P78" s="75" t="str">
        <f t="shared" si="5"/>
        <v>38</v>
      </c>
      <c r="Q78" s="75" t="str">
        <f t="shared" si="6"/>
        <v>43</v>
      </c>
      <c r="R78" s="75" t="str">
        <f t="shared" si="7"/>
        <v>94</v>
      </c>
      <c r="V78" s="75">
        <v>3434</v>
      </c>
      <c r="W78" s="75" t="s">
        <v>67</v>
      </c>
      <c r="Y78" s="290" t="str">
        <f t="shared" si="87"/>
        <v>34</v>
      </c>
      <c r="Z78" s="75" t="str">
        <f t="shared" si="88"/>
        <v>343</v>
      </c>
      <c r="AB78" t="s">
        <v>1841</v>
      </c>
      <c r="AC78" t="s">
        <v>1842</v>
      </c>
      <c r="AD78" s="75" t="s">
        <v>5158</v>
      </c>
      <c r="AE78" s="75" t="s">
        <v>5159</v>
      </c>
      <c r="AF78" s="75" t="s">
        <v>5168</v>
      </c>
      <c r="AG78" s="75" t="s">
        <v>5179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43</v>
      </c>
      <c r="D79" s="80" t="str">
        <f t="shared" si="70"/>
        <v>Ostali prihodi za posebne namjene</v>
      </c>
      <c r="E79" s="85">
        <v>4241</v>
      </c>
      <c r="F79" s="80" t="str">
        <f t="shared" si="84"/>
        <v>Knjige</v>
      </c>
      <c r="G79" s="118" t="s">
        <v>187</v>
      </c>
      <c r="H79" s="80" t="str">
        <f t="shared" si="85"/>
        <v>REDOVNA DJELATNOST VELEUČILIŠTA I VISOKIH ŠKOLA (IZ EVIDENCIJSKIH PRIHODA)</v>
      </c>
      <c r="I79" s="80" t="str">
        <f t="shared" si="86"/>
        <v>0942</v>
      </c>
      <c r="J79" s="117">
        <v>202</v>
      </c>
      <c r="K79" s="117">
        <v>1333</v>
      </c>
      <c r="L79" s="117">
        <v>1081.5000000000005</v>
      </c>
      <c r="M79" s="84"/>
      <c r="O79" s="75" t="str">
        <f t="shared" si="4"/>
        <v>424</v>
      </c>
      <c r="P79" s="75" t="str">
        <f t="shared" si="5"/>
        <v>42</v>
      </c>
      <c r="Q79" s="75" t="str">
        <f t="shared" si="6"/>
        <v>43</v>
      </c>
      <c r="R79" s="75" t="str">
        <f t="shared" si="7"/>
        <v>94</v>
      </c>
      <c r="V79" s="75">
        <v>3511</v>
      </c>
      <c r="W79" s="75" t="s">
        <v>179</v>
      </c>
      <c r="Y79" s="290" t="str">
        <f t="shared" si="87"/>
        <v>35</v>
      </c>
      <c r="Z79" s="75" t="str">
        <f t="shared" si="88"/>
        <v>351</v>
      </c>
      <c r="AB79" t="s">
        <v>1843</v>
      </c>
      <c r="AC79" t="s">
        <v>1844</v>
      </c>
      <c r="AD79" s="75" t="s">
        <v>5158</v>
      </c>
      <c r="AE79" s="75" t="s">
        <v>5159</v>
      </c>
      <c r="AF79" s="75" t="s">
        <v>5168</v>
      </c>
      <c r="AG79" s="75" t="s">
        <v>5179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43</v>
      </c>
      <c r="D80" s="80" t="str">
        <f t="shared" si="70"/>
        <v>Ostali prihodi za posebne namjene</v>
      </c>
      <c r="E80" s="85">
        <v>4262</v>
      </c>
      <c r="F80" s="80" t="str">
        <f t="shared" si="84"/>
        <v>Ulaganja u računalne programe</v>
      </c>
      <c r="G80" s="118" t="s">
        <v>187</v>
      </c>
      <c r="H80" s="80" t="str">
        <f t="shared" si="85"/>
        <v>REDOVNA DJELATNOST VELEUČILIŠTA I VISOKIH ŠKOLA (IZ EVIDENCIJSKIH PRIHODA)</v>
      </c>
      <c r="I80" s="80" t="str">
        <f t="shared" si="86"/>
        <v>0942</v>
      </c>
      <c r="J80" s="117"/>
      <c r="K80" s="117">
        <v>18160</v>
      </c>
      <c r="L80" s="117"/>
      <c r="M80" s="84"/>
      <c r="O80" s="75" t="str">
        <f t="shared" si="4"/>
        <v>426</v>
      </c>
      <c r="P80" s="75" t="str">
        <f t="shared" si="5"/>
        <v>42</v>
      </c>
      <c r="Q80" s="75" t="str">
        <f t="shared" si="6"/>
        <v>43</v>
      </c>
      <c r="R80" s="75" t="str">
        <f t="shared" si="7"/>
        <v>94</v>
      </c>
      <c r="V80" s="75">
        <v>3512</v>
      </c>
      <c r="W80" s="75" t="s">
        <v>181</v>
      </c>
      <c r="Y80" s="290" t="str">
        <f t="shared" si="87"/>
        <v>35</v>
      </c>
      <c r="Z80" s="75" t="str">
        <f t="shared" si="88"/>
        <v>351</v>
      </c>
      <c r="AB80" t="s">
        <v>1845</v>
      </c>
      <c r="AC80" t="s">
        <v>933</v>
      </c>
      <c r="AD80" s="75" t="s">
        <v>5156</v>
      </c>
      <c r="AE80" s="75" t="s">
        <v>5157</v>
      </c>
      <c r="AF80" s="75" t="s">
        <v>5170</v>
      </c>
      <c r="AG80" s="75" t="s">
        <v>5183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43</v>
      </c>
      <c r="D81" s="80" t="str">
        <f t="shared" si="70"/>
        <v>Ostali prihodi za posebne namjene</v>
      </c>
      <c r="E81" s="85">
        <v>3235</v>
      </c>
      <c r="F81" s="80" t="str">
        <f t="shared" si="84"/>
        <v>Zakupnine i najamnine</v>
      </c>
      <c r="G81" s="118" t="s">
        <v>187</v>
      </c>
      <c r="H81" s="80" t="str">
        <f t="shared" si="85"/>
        <v>REDOVNA DJELATNOST VELEUČILIŠTA I VISOKIH ŠKOLA (IZ EVIDENCIJSKIH PRIHODA)</v>
      </c>
      <c r="I81" s="80" t="str">
        <f t="shared" si="86"/>
        <v>0942</v>
      </c>
      <c r="J81" s="117"/>
      <c r="K81" s="117">
        <v>13333</v>
      </c>
      <c r="L81" s="117"/>
      <c r="M81" s="84"/>
      <c r="O81" s="75" t="str">
        <f t="shared" si="4"/>
        <v>323</v>
      </c>
      <c r="P81" s="75" t="str">
        <f t="shared" si="5"/>
        <v>32</v>
      </c>
      <c r="Q81" s="75" t="str">
        <f t="shared" si="6"/>
        <v>43</v>
      </c>
      <c r="R81" s="75" t="str">
        <f t="shared" si="7"/>
        <v>94</v>
      </c>
      <c r="V81" s="75">
        <v>3531</v>
      </c>
      <c r="W81" s="75" t="s">
        <v>133</v>
      </c>
      <c r="Y81" s="290" t="str">
        <f t="shared" si="87"/>
        <v>35</v>
      </c>
      <c r="Z81" s="75" t="str">
        <f t="shared" si="88"/>
        <v>353</v>
      </c>
      <c r="AB81" t="s">
        <v>1846</v>
      </c>
      <c r="AC81" t="s">
        <v>1847</v>
      </c>
      <c r="AD81" s="75" t="s">
        <v>5158</v>
      </c>
      <c r="AE81" s="75" t="s">
        <v>5159</v>
      </c>
      <c r="AF81" s="75" t="s">
        <v>5168</v>
      </c>
      <c r="AG81" s="75" t="s">
        <v>5179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43</v>
      </c>
      <c r="D82" s="80" t="str">
        <f t="shared" si="70"/>
        <v>Ostali prihodi za posebne namjene</v>
      </c>
      <c r="E82" s="85">
        <v>3224</v>
      </c>
      <c r="F82" s="80" t="str">
        <f t="shared" si="84"/>
        <v>Materijal i dijelovi za tekuće i investicijsko održavanje</v>
      </c>
      <c r="G82" s="118" t="s">
        <v>187</v>
      </c>
      <c r="H82" s="80" t="str">
        <f t="shared" si="85"/>
        <v>REDOVNA DJELATNOST VELEUČILIŠTA I VISOKIH ŠKOLA (IZ EVIDENCIJSKIH PRIHODA)</v>
      </c>
      <c r="I82" s="80" t="str">
        <f t="shared" si="86"/>
        <v>0942</v>
      </c>
      <c r="J82" s="117"/>
      <c r="K82" s="117">
        <v>13333</v>
      </c>
      <c r="L82" s="117"/>
      <c r="M82" s="84"/>
      <c r="O82" s="75" t="str">
        <f t="shared" si="4"/>
        <v>322</v>
      </c>
      <c r="P82" s="75" t="str">
        <f t="shared" si="5"/>
        <v>32</v>
      </c>
      <c r="Q82" s="75" t="str">
        <f t="shared" si="6"/>
        <v>43</v>
      </c>
      <c r="R82" s="75" t="str">
        <f t="shared" si="7"/>
        <v>94</v>
      </c>
      <c r="V82" s="75">
        <v>3611</v>
      </c>
      <c r="W82" s="75" t="s">
        <v>87</v>
      </c>
      <c r="Y82" s="290" t="str">
        <f t="shared" si="87"/>
        <v>36</v>
      </c>
      <c r="Z82" s="75" t="str">
        <f t="shared" si="88"/>
        <v>361</v>
      </c>
      <c r="AB82" t="s">
        <v>1632</v>
      </c>
      <c r="AC82" t="s">
        <v>1633</v>
      </c>
      <c r="AD82" s="75" t="s">
        <v>5158</v>
      </c>
      <c r="AE82" s="75" t="s">
        <v>5159</v>
      </c>
      <c r="AF82" s="75" t="s">
        <v>5168</v>
      </c>
      <c r="AG82" s="75" t="s">
        <v>5179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52</v>
      </c>
      <c r="D83" s="80" t="str">
        <f t="shared" si="70"/>
        <v>Ostale pomoći</v>
      </c>
      <c r="E83" s="85">
        <v>3213</v>
      </c>
      <c r="F83" s="80" t="str">
        <f t="shared" si="84"/>
        <v>Stručno usavršavanje zaposlenika</v>
      </c>
      <c r="G83" s="118" t="s">
        <v>1960</v>
      </c>
      <c r="H83" s="80" t="str">
        <f t="shared" si="85"/>
        <v>ERASMUS - PROJEKTI  ZA KORISNIKE OBRAZOVANJE OD 2021. DO 2027.</v>
      </c>
      <c r="I83" s="80" t="str">
        <f t="shared" si="86"/>
        <v>0970</v>
      </c>
      <c r="J83" s="117"/>
      <c r="K83" s="117">
        <v>65565</v>
      </c>
      <c r="L83" s="117">
        <v>38036.410000000003</v>
      </c>
      <c r="M83" s="84"/>
      <c r="O83" s="75" t="str">
        <f t="shared" si="4"/>
        <v>321</v>
      </c>
      <c r="P83" s="75" t="str">
        <f t="shared" si="5"/>
        <v>32</v>
      </c>
      <c r="Q83" s="75" t="str">
        <f t="shared" si="6"/>
        <v>52</v>
      </c>
      <c r="R83" s="75" t="str">
        <f t="shared" si="7"/>
        <v>97</v>
      </c>
      <c r="V83" s="75">
        <v>3621</v>
      </c>
      <c r="W83" s="75" t="s">
        <v>137</v>
      </c>
      <c r="Y83" s="290" t="str">
        <f t="shared" si="87"/>
        <v>36</v>
      </c>
      <c r="Z83" s="75" t="str">
        <f t="shared" si="88"/>
        <v>362</v>
      </c>
      <c r="AB83" t="s">
        <v>1848</v>
      </c>
      <c r="AC83" t="s">
        <v>1849</v>
      </c>
      <c r="AD83" s="75" t="s">
        <v>5160</v>
      </c>
      <c r="AE83" s="75" t="s">
        <v>5161</v>
      </c>
      <c r="AF83" s="75" t="s">
        <v>5168</v>
      </c>
      <c r="AG83" s="75" t="s">
        <v>5181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52</v>
      </c>
      <c r="D84" s="80" t="str">
        <f t="shared" si="70"/>
        <v>Ostale pomoći</v>
      </c>
      <c r="E84" s="85">
        <v>3293</v>
      </c>
      <c r="F84" s="80" t="str">
        <f t="shared" si="84"/>
        <v>Reprezentacija</v>
      </c>
      <c r="G84" s="118" t="s">
        <v>1960</v>
      </c>
      <c r="H84" s="80" t="str">
        <f t="shared" si="85"/>
        <v>ERASMUS - PROJEKTI  ZA KORISNIKE OBRAZOVANJE OD 2021. DO 2027.</v>
      </c>
      <c r="I84" s="80" t="str">
        <f t="shared" si="86"/>
        <v>0970</v>
      </c>
      <c r="J84" s="117"/>
      <c r="K84" s="117">
        <v>1000</v>
      </c>
      <c r="L84" s="117">
        <v>667.32</v>
      </c>
      <c r="M84" s="84"/>
      <c r="O84" s="75" t="str">
        <f t="shared" si="4"/>
        <v>329</v>
      </c>
      <c r="P84" s="75" t="str">
        <f t="shared" si="5"/>
        <v>32</v>
      </c>
      <c r="Q84" s="75" t="str">
        <f t="shared" si="6"/>
        <v>52</v>
      </c>
      <c r="R84" s="75" t="str">
        <f t="shared" si="7"/>
        <v>97</v>
      </c>
      <c r="V84" s="75">
        <v>3631</v>
      </c>
      <c r="W84" s="75" t="s">
        <v>178</v>
      </c>
      <c r="Y84" s="290" t="str">
        <f t="shared" si="87"/>
        <v>36</v>
      </c>
      <c r="Z84" s="75" t="str">
        <f t="shared" si="88"/>
        <v>363</v>
      </c>
      <c r="AB84" t="s">
        <v>1850</v>
      </c>
      <c r="AC84" t="s">
        <v>1851</v>
      </c>
      <c r="AD84" s="75" t="s">
        <v>5160</v>
      </c>
      <c r="AE84" s="75" t="s">
        <v>5161</v>
      </c>
      <c r="AF84" s="75" t="s">
        <v>5168</v>
      </c>
      <c r="AG84" s="75" t="s">
        <v>5181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52</v>
      </c>
      <c r="D85" s="80" t="str">
        <f t="shared" ref="D85:D86" si="97">IFERROR(VLOOKUP(C85,$S$7:$T$48,2,FALSE),"")</f>
        <v>Ostale pomoći</v>
      </c>
      <c r="E85" s="85">
        <v>3111</v>
      </c>
      <c r="F85" s="80" t="str">
        <f t="shared" si="84"/>
        <v>Plaće za redovan rad</v>
      </c>
      <c r="G85" s="118" t="s">
        <v>187</v>
      </c>
      <c r="H85" s="80" t="str">
        <f t="shared" si="85"/>
        <v>REDOVNA DJELATNOST VELEUČILIŠTA I VISOKIH ŠKOLA (IZ EVIDENCIJSKIH PRIHODA)</v>
      </c>
      <c r="I85" s="80" t="str">
        <f t="shared" si="86"/>
        <v>0942</v>
      </c>
      <c r="J85" s="117">
        <v>2662.89</v>
      </c>
      <c r="K85" s="117"/>
      <c r="L85" s="117">
        <v>17309.55</v>
      </c>
      <c r="M85" s="84"/>
      <c r="O85" s="75" t="str">
        <f t="shared" ref="O85:O158" si="98">LEFT(E85,3)</f>
        <v>311</v>
      </c>
      <c r="P85" s="75" t="str">
        <f t="shared" ref="P85:P158" si="99">LEFT(E85,2)</f>
        <v>31</v>
      </c>
      <c r="Q85" s="75" t="str">
        <f t="shared" ref="Q85:Q158" si="100">LEFT(C85,3)</f>
        <v>52</v>
      </c>
      <c r="R85" s="75" t="str">
        <f t="shared" ref="R85:R158" si="101">MID(I85,2,2)</f>
        <v>94</v>
      </c>
      <c r="AB85"/>
      <c r="AC85"/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52</v>
      </c>
      <c r="D86" s="80" t="str">
        <f t="shared" si="97"/>
        <v>Ostale pomoći</v>
      </c>
      <c r="E86" s="85">
        <v>3121</v>
      </c>
      <c r="F86" s="80" t="str">
        <f t="shared" si="84"/>
        <v>Ostali rashodi za zaposlene</v>
      </c>
      <c r="G86" s="118" t="s">
        <v>187</v>
      </c>
      <c r="H86" s="80" t="str">
        <f t="shared" si="85"/>
        <v>REDOVNA DJELATNOST VELEUČILIŠTA I VISOKIH ŠKOLA (IZ EVIDENCIJSKIH PRIHODA)</v>
      </c>
      <c r="I86" s="80" t="str">
        <f t="shared" si="86"/>
        <v>0942</v>
      </c>
      <c r="J86" s="117">
        <v>12117.99</v>
      </c>
      <c r="K86" s="117"/>
      <c r="L86" s="117">
        <v>5308.86</v>
      </c>
      <c r="M86" s="84"/>
      <c r="O86" s="75" t="str">
        <f t="shared" si="98"/>
        <v>312</v>
      </c>
      <c r="P86" s="75" t="str">
        <f t="shared" si="99"/>
        <v>31</v>
      </c>
      <c r="Q86" s="75" t="str">
        <f t="shared" si="100"/>
        <v>52</v>
      </c>
      <c r="R86" s="75" t="str">
        <f t="shared" si="101"/>
        <v>94</v>
      </c>
      <c r="AB86"/>
      <c r="AC86"/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52</v>
      </c>
      <c r="D87" s="80" t="str">
        <f t="shared" ref="D87:D120" si="102">IFERROR(VLOOKUP(C87,$S$7:$T$48,2,FALSE),"")</f>
        <v>Ostale pomoći</v>
      </c>
      <c r="E87" s="85">
        <v>3132</v>
      </c>
      <c r="F87" s="80" t="str">
        <f t="shared" si="84"/>
        <v>Doprinosi za obvezno zdravstveno osiguranje</v>
      </c>
      <c r="G87" s="118" t="s">
        <v>187</v>
      </c>
      <c r="H87" s="80" t="str">
        <f t="shared" si="85"/>
        <v>REDOVNA DJELATNOST VELEUČILIŠTA I VISOKIH ŠKOLA (IZ EVIDENCIJSKIH PRIHODA)</v>
      </c>
      <c r="I87" s="80" t="str">
        <f t="shared" si="86"/>
        <v>0942</v>
      </c>
      <c r="J87" s="117">
        <v>565</v>
      </c>
      <c r="K87" s="117"/>
      <c r="L87" s="117">
        <v>2217.1400000000003</v>
      </c>
      <c r="M87" s="84"/>
      <c r="O87" s="75" t="str">
        <f t="shared" si="98"/>
        <v>313</v>
      </c>
      <c r="P87" s="75" t="str">
        <f t="shared" si="99"/>
        <v>31</v>
      </c>
      <c r="Q87" s="75" t="str">
        <f t="shared" si="100"/>
        <v>52</v>
      </c>
      <c r="R87" s="75" t="str">
        <f t="shared" si="101"/>
        <v>94</v>
      </c>
      <c r="AB87"/>
      <c r="AC87"/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52</v>
      </c>
      <c r="D88" s="80" t="str">
        <f t="shared" si="102"/>
        <v>Ostale pomoći</v>
      </c>
      <c r="E88" s="85">
        <v>3211</v>
      </c>
      <c r="F88" s="80" t="str">
        <f t="shared" si="84"/>
        <v>Službena putovanja</v>
      </c>
      <c r="G88" s="118" t="s">
        <v>187</v>
      </c>
      <c r="H88" s="80" t="str">
        <f t="shared" si="85"/>
        <v>REDOVNA DJELATNOST VELEUČILIŠTA I VISOKIH ŠKOLA (IZ EVIDENCIJSKIH PRIHODA)</v>
      </c>
      <c r="I88" s="80" t="str">
        <f t="shared" si="86"/>
        <v>0942</v>
      </c>
      <c r="J88" s="117">
        <v>5230</v>
      </c>
      <c r="K88" s="117"/>
      <c r="L88" s="117">
        <v>6274.489999999998</v>
      </c>
      <c r="M88" s="84"/>
      <c r="O88" s="75" t="str">
        <f t="shared" si="98"/>
        <v>321</v>
      </c>
      <c r="P88" s="75" t="str">
        <f t="shared" si="99"/>
        <v>32</v>
      </c>
      <c r="Q88" s="75" t="str">
        <f t="shared" si="100"/>
        <v>52</v>
      </c>
      <c r="R88" s="75" t="str">
        <f t="shared" si="101"/>
        <v>94</v>
      </c>
      <c r="AB88"/>
      <c r="AC88"/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 t="shared" si="102"/>
        <v>Ostale pomoći</v>
      </c>
      <c r="E89" s="85">
        <v>3212</v>
      </c>
      <c r="F89" s="80" t="str">
        <f t="shared" si="84"/>
        <v>Naknade za prijevoz, za rad na terenu i odvojeni život</v>
      </c>
      <c r="G89" s="118" t="s">
        <v>187</v>
      </c>
      <c r="H89" s="80" t="str">
        <f t="shared" si="85"/>
        <v>REDOVNA DJELATNOST VELEUČILIŠTA I VISOKIH ŠKOLA (IZ EVIDENCIJSKIH PRIHODA)</v>
      </c>
      <c r="I89" s="80" t="str">
        <f t="shared" si="86"/>
        <v>0942</v>
      </c>
      <c r="J89" s="117">
        <v>1107</v>
      </c>
      <c r="K89" s="117"/>
      <c r="L89" s="117">
        <v>112.85</v>
      </c>
      <c r="M89" s="84"/>
      <c r="O89" s="75" t="str">
        <f t="shared" si="98"/>
        <v>321</v>
      </c>
      <c r="P89" s="75" t="str">
        <f t="shared" si="99"/>
        <v>32</v>
      </c>
      <c r="Q89" s="75" t="str">
        <f t="shared" si="100"/>
        <v>52</v>
      </c>
      <c r="R89" s="75" t="str">
        <f t="shared" si="101"/>
        <v>94</v>
      </c>
      <c r="AB89"/>
      <c r="AC89"/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52</v>
      </c>
      <c r="D90" s="80" t="str">
        <f t="shared" si="102"/>
        <v>Ostale pomoći</v>
      </c>
      <c r="E90" s="85">
        <v>3213</v>
      </c>
      <c r="F90" s="80" t="str">
        <f t="shared" si="84"/>
        <v>Stručno usavršavanje zaposlenika</v>
      </c>
      <c r="G90" s="118" t="s">
        <v>187</v>
      </c>
      <c r="H90" s="80" t="str">
        <f t="shared" si="85"/>
        <v>REDOVNA DJELATNOST VELEUČILIŠTA I VISOKIH ŠKOLA (IZ EVIDENCIJSKIH PRIHODA)</v>
      </c>
      <c r="I90" s="80" t="str">
        <f t="shared" si="86"/>
        <v>0942</v>
      </c>
      <c r="J90" s="117">
        <v>15058</v>
      </c>
      <c r="K90" s="117"/>
      <c r="L90" s="117"/>
      <c r="M90" s="84"/>
      <c r="O90" s="75" t="str">
        <f t="shared" si="98"/>
        <v>321</v>
      </c>
      <c r="P90" s="75" t="str">
        <f t="shared" si="99"/>
        <v>32</v>
      </c>
      <c r="Q90" s="75" t="str">
        <f t="shared" si="100"/>
        <v>52</v>
      </c>
      <c r="R90" s="75" t="str">
        <f t="shared" si="101"/>
        <v>94</v>
      </c>
      <c r="AB90"/>
      <c r="AC90"/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si="102"/>
        <v>Ostale pomoći</v>
      </c>
      <c r="E91" s="85">
        <v>3214</v>
      </c>
      <c r="F91" s="80" t="str">
        <f t="shared" si="84"/>
        <v>Ostale naknade troškova zaposlenima</v>
      </c>
      <c r="G91" s="118" t="s">
        <v>187</v>
      </c>
      <c r="H91" s="80" t="str">
        <f t="shared" si="85"/>
        <v>REDOVNA DJELATNOST VELEUČILIŠTA I VISOKIH ŠKOLA (IZ EVIDENCIJSKIH PRIHODA)</v>
      </c>
      <c r="I91" s="80" t="str">
        <f t="shared" si="86"/>
        <v>0942</v>
      </c>
      <c r="J91" s="117">
        <v>31</v>
      </c>
      <c r="K91" s="117"/>
      <c r="L91" s="117">
        <v>583.20000000000005</v>
      </c>
      <c r="M91" s="84"/>
      <c r="O91" s="75" t="str">
        <f t="shared" si="98"/>
        <v>321</v>
      </c>
      <c r="P91" s="75" t="str">
        <f t="shared" si="99"/>
        <v>32</v>
      </c>
      <c r="Q91" s="75" t="str">
        <f t="shared" si="100"/>
        <v>52</v>
      </c>
      <c r="R91" s="75" t="str">
        <f t="shared" si="101"/>
        <v>94</v>
      </c>
      <c r="AB91"/>
      <c r="AC91"/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si="102"/>
        <v>Ostale pomoći</v>
      </c>
      <c r="E92" s="85">
        <v>3221</v>
      </c>
      <c r="F92" s="80" t="str">
        <f t="shared" si="84"/>
        <v>Uredski materijal i ostali materijalni rashodi</v>
      </c>
      <c r="G92" s="118" t="s">
        <v>187</v>
      </c>
      <c r="H92" s="80" t="str">
        <f t="shared" si="85"/>
        <v>REDOVNA DJELATNOST VELEUČILIŠTA I VISOKIH ŠKOLA (IZ EVIDENCIJSKIH PRIHODA)</v>
      </c>
      <c r="I92" s="80" t="str">
        <f t="shared" si="86"/>
        <v>0942</v>
      </c>
      <c r="J92" s="117">
        <v>3321</v>
      </c>
      <c r="K92" s="117"/>
      <c r="L92" s="117">
        <v>1884.52</v>
      </c>
      <c r="M92" s="84"/>
      <c r="O92" s="75" t="str">
        <f t="shared" si="98"/>
        <v>322</v>
      </c>
      <c r="P92" s="75" t="str">
        <f t="shared" si="99"/>
        <v>32</v>
      </c>
      <c r="Q92" s="75" t="str">
        <f t="shared" si="100"/>
        <v>52</v>
      </c>
      <c r="R92" s="75" t="str">
        <f t="shared" si="101"/>
        <v>94</v>
      </c>
      <c r="AB92"/>
      <c r="AC92"/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52</v>
      </c>
      <c r="D93" s="80" t="str">
        <f t="shared" si="102"/>
        <v>Ostale pomoći</v>
      </c>
      <c r="E93" s="85">
        <v>3223</v>
      </c>
      <c r="F93" s="80" t="str">
        <f t="shared" si="84"/>
        <v>Energija</v>
      </c>
      <c r="G93" s="118" t="s">
        <v>187</v>
      </c>
      <c r="H93" s="80" t="str">
        <f t="shared" si="85"/>
        <v>REDOVNA DJELATNOST VELEUČILIŠTA I VISOKIH ŠKOLA (IZ EVIDENCIJSKIH PRIHODA)</v>
      </c>
      <c r="I93" s="80" t="str">
        <f t="shared" si="86"/>
        <v>0942</v>
      </c>
      <c r="J93" s="117">
        <v>7148</v>
      </c>
      <c r="K93" s="117"/>
      <c r="L93" s="117">
        <v>5099.6000000000004</v>
      </c>
      <c r="M93" s="84"/>
      <c r="O93" s="75" t="str">
        <f t="shared" si="98"/>
        <v>322</v>
      </c>
      <c r="P93" s="75" t="str">
        <f t="shared" si="99"/>
        <v>32</v>
      </c>
      <c r="Q93" s="75" t="str">
        <f t="shared" si="100"/>
        <v>52</v>
      </c>
      <c r="R93" s="75" t="str">
        <f t="shared" si="101"/>
        <v>94</v>
      </c>
      <c r="AB93"/>
      <c r="AC93"/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52</v>
      </c>
      <c r="D94" s="80" t="str">
        <f t="shared" si="102"/>
        <v>Ostale pomoći</v>
      </c>
      <c r="E94" s="85">
        <v>3225</v>
      </c>
      <c r="F94" s="80" t="str">
        <f t="shared" si="84"/>
        <v>Sitni inventar i auto gume</v>
      </c>
      <c r="G94" s="118" t="s">
        <v>187</v>
      </c>
      <c r="H94" s="80" t="str">
        <f t="shared" si="85"/>
        <v>REDOVNA DJELATNOST VELEUČILIŠTA I VISOKIH ŠKOLA (IZ EVIDENCIJSKIH PRIHODA)</v>
      </c>
      <c r="I94" s="80" t="str">
        <f t="shared" si="86"/>
        <v>0942</v>
      </c>
      <c r="J94" s="117"/>
      <c r="K94" s="117"/>
      <c r="L94" s="117">
        <v>393.75</v>
      </c>
      <c r="M94" s="84"/>
      <c r="O94" s="75" t="str">
        <f t="shared" si="98"/>
        <v>322</v>
      </c>
      <c r="P94" s="75" t="str">
        <f t="shared" si="99"/>
        <v>32</v>
      </c>
      <c r="Q94" s="75" t="str">
        <f t="shared" si="100"/>
        <v>52</v>
      </c>
      <c r="R94" s="75" t="str">
        <f t="shared" si="101"/>
        <v>94</v>
      </c>
      <c r="AB94"/>
      <c r="AC94"/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102"/>
        <v>Ostale pomoći</v>
      </c>
      <c r="E95" s="85">
        <v>3231</v>
      </c>
      <c r="F95" s="80" t="str">
        <f t="shared" si="84"/>
        <v>Usluge telefona, pošte i prijevoza</v>
      </c>
      <c r="G95" s="118" t="s">
        <v>187</v>
      </c>
      <c r="H95" s="80" t="str">
        <f t="shared" si="85"/>
        <v>REDOVNA DJELATNOST VELEUČILIŠTA I VISOKIH ŠKOLA (IZ EVIDENCIJSKIH PRIHODA)</v>
      </c>
      <c r="I95" s="80" t="str">
        <f t="shared" si="86"/>
        <v>0942</v>
      </c>
      <c r="J95" s="117">
        <v>1398</v>
      </c>
      <c r="K95" s="117"/>
      <c r="L95" s="117">
        <v>1089.01</v>
      </c>
      <c r="M95" s="84"/>
      <c r="O95" s="75" t="str">
        <f t="shared" si="98"/>
        <v>323</v>
      </c>
      <c r="P95" s="75" t="str">
        <f t="shared" si="99"/>
        <v>32</v>
      </c>
      <c r="Q95" s="75" t="str">
        <f t="shared" si="100"/>
        <v>52</v>
      </c>
      <c r="R95" s="75" t="str">
        <f t="shared" si="101"/>
        <v>94</v>
      </c>
      <c r="AB95"/>
      <c r="AC95"/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102"/>
        <v>Ostale pomoći</v>
      </c>
      <c r="E96" s="85">
        <v>3232</v>
      </c>
      <c r="F96" s="80" t="str">
        <f t="shared" si="84"/>
        <v>Usluge tekućeg i investicijskog održavanja</v>
      </c>
      <c r="G96" s="118" t="s">
        <v>187</v>
      </c>
      <c r="H96" s="80" t="str">
        <f t="shared" si="85"/>
        <v>REDOVNA DJELATNOST VELEUČILIŠTA I VISOKIH ŠKOLA (IZ EVIDENCIJSKIH PRIHODA)</v>
      </c>
      <c r="I96" s="80" t="str">
        <f t="shared" si="86"/>
        <v>0942</v>
      </c>
      <c r="J96" s="117">
        <v>1581</v>
      </c>
      <c r="K96" s="117"/>
      <c r="L96" s="117">
        <v>73.010000000000005</v>
      </c>
      <c r="M96" s="84"/>
      <c r="O96" s="75" t="str">
        <f t="shared" si="98"/>
        <v>323</v>
      </c>
      <c r="P96" s="75" t="str">
        <f t="shared" si="99"/>
        <v>32</v>
      </c>
      <c r="Q96" s="75" t="str">
        <f t="shared" si="100"/>
        <v>52</v>
      </c>
      <c r="R96" s="75" t="str">
        <f t="shared" si="101"/>
        <v>94</v>
      </c>
      <c r="AB96"/>
      <c r="AC96"/>
    </row>
    <row r="97" spans="1:29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52</v>
      </c>
      <c r="D97" s="80" t="str">
        <f t="shared" si="102"/>
        <v>Ostale pomoći</v>
      </c>
      <c r="E97" s="85">
        <v>3233</v>
      </c>
      <c r="F97" s="80" t="str">
        <f t="shared" si="84"/>
        <v>Usluge promidžbe i informiranja</v>
      </c>
      <c r="G97" s="118" t="s">
        <v>187</v>
      </c>
      <c r="H97" s="80" t="str">
        <f t="shared" si="85"/>
        <v>REDOVNA DJELATNOST VELEUČILIŠTA I VISOKIH ŠKOLA (IZ EVIDENCIJSKIH PRIHODA)</v>
      </c>
      <c r="I97" s="80" t="str">
        <f t="shared" si="86"/>
        <v>0942</v>
      </c>
      <c r="J97" s="117">
        <v>7003</v>
      </c>
      <c r="K97" s="117"/>
      <c r="L97" s="117">
        <v>1081.51</v>
      </c>
      <c r="M97" s="84"/>
      <c r="O97" s="75" t="str">
        <f t="shared" si="98"/>
        <v>323</v>
      </c>
      <c r="P97" s="75" t="str">
        <f t="shared" si="99"/>
        <v>32</v>
      </c>
      <c r="Q97" s="75" t="str">
        <f t="shared" si="100"/>
        <v>52</v>
      </c>
      <c r="R97" s="75" t="str">
        <f t="shared" si="101"/>
        <v>94</v>
      </c>
      <c r="AB97"/>
      <c r="AC97"/>
    </row>
    <row r="98" spans="1:29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52</v>
      </c>
      <c r="D98" s="80" t="str">
        <f t="shared" si="102"/>
        <v>Ostale pomoći</v>
      </c>
      <c r="E98" s="85">
        <v>3234</v>
      </c>
      <c r="F98" s="80" t="str">
        <f t="shared" si="84"/>
        <v>Komunalne usluge</v>
      </c>
      <c r="G98" s="118" t="s">
        <v>187</v>
      </c>
      <c r="H98" s="80" t="str">
        <f t="shared" si="85"/>
        <v>REDOVNA DJELATNOST VELEUČILIŠTA I VISOKIH ŠKOLA (IZ EVIDENCIJSKIH PRIHODA)</v>
      </c>
      <c r="I98" s="80" t="str">
        <f t="shared" si="86"/>
        <v>0942</v>
      </c>
      <c r="J98" s="117">
        <v>1944</v>
      </c>
      <c r="K98" s="117"/>
      <c r="L98" s="117">
        <v>870.68000000000006</v>
      </c>
      <c r="M98" s="84"/>
      <c r="O98" s="75" t="str">
        <f t="shared" si="98"/>
        <v>323</v>
      </c>
      <c r="P98" s="75" t="str">
        <f t="shared" si="99"/>
        <v>32</v>
      </c>
      <c r="Q98" s="75" t="str">
        <f t="shared" si="100"/>
        <v>52</v>
      </c>
      <c r="R98" s="75" t="str">
        <f t="shared" si="101"/>
        <v>94</v>
      </c>
      <c r="AB98"/>
      <c r="AC98"/>
    </row>
    <row r="99" spans="1:29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102"/>
        <v>Ostale pomoći</v>
      </c>
      <c r="E99" s="85">
        <v>3235</v>
      </c>
      <c r="F99" s="80" t="str">
        <f t="shared" si="84"/>
        <v>Zakupnine i najamnine</v>
      </c>
      <c r="G99" s="118" t="s">
        <v>187</v>
      </c>
      <c r="H99" s="80" t="str">
        <f t="shared" si="85"/>
        <v>REDOVNA DJELATNOST VELEUČILIŠTA I VISOKIH ŠKOLA (IZ EVIDENCIJSKIH PRIHODA)</v>
      </c>
      <c r="I99" s="80" t="str">
        <f t="shared" si="86"/>
        <v>0942</v>
      </c>
      <c r="J99" s="117">
        <v>18371</v>
      </c>
      <c r="K99" s="117"/>
      <c r="L99" s="117">
        <v>3094.7</v>
      </c>
      <c r="M99" s="84"/>
      <c r="O99" s="75" t="str">
        <f t="shared" si="98"/>
        <v>323</v>
      </c>
      <c r="P99" s="75" t="str">
        <f t="shared" si="99"/>
        <v>32</v>
      </c>
      <c r="Q99" s="75" t="str">
        <f t="shared" si="100"/>
        <v>52</v>
      </c>
      <c r="R99" s="75" t="str">
        <f t="shared" si="101"/>
        <v>94</v>
      </c>
      <c r="AB99"/>
      <c r="AC99"/>
    </row>
    <row r="100" spans="1:29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102"/>
        <v>Ostale pomoći</v>
      </c>
      <c r="E100" s="85">
        <v>3237</v>
      </c>
      <c r="F100" s="80" t="str">
        <f t="shared" si="84"/>
        <v>Intelektualne i osobne usluge</v>
      </c>
      <c r="G100" s="118" t="s">
        <v>187</v>
      </c>
      <c r="H100" s="80" t="str">
        <f t="shared" si="85"/>
        <v>REDOVNA DJELATNOST VELEUČILIŠTA I VISOKIH ŠKOLA (IZ EVIDENCIJSKIH PRIHODA)</v>
      </c>
      <c r="I100" s="80" t="str">
        <f t="shared" si="86"/>
        <v>0942</v>
      </c>
      <c r="J100" s="117">
        <v>20383</v>
      </c>
      <c r="K100" s="117"/>
      <c r="L100" s="117">
        <v>14194.23</v>
      </c>
      <c r="M100" s="84"/>
      <c r="O100" s="75" t="str">
        <f t="shared" si="98"/>
        <v>323</v>
      </c>
      <c r="P100" s="75" t="str">
        <f t="shared" si="99"/>
        <v>32</v>
      </c>
      <c r="Q100" s="75" t="str">
        <f t="shared" si="100"/>
        <v>52</v>
      </c>
      <c r="R100" s="75" t="str">
        <f t="shared" si="101"/>
        <v>94</v>
      </c>
      <c r="AB100"/>
      <c r="AC100"/>
    </row>
    <row r="101" spans="1:29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52</v>
      </c>
      <c r="D101" s="80" t="str">
        <f t="shared" si="102"/>
        <v>Ostale pomoći</v>
      </c>
      <c r="E101" s="85">
        <v>3238</v>
      </c>
      <c r="F101" s="80" t="str">
        <f t="shared" si="84"/>
        <v>Računalne usluge</v>
      </c>
      <c r="G101" s="118" t="s">
        <v>187</v>
      </c>
      <c r="H101" s="80" t="str">
        <f t="shared" si="85"/>
        <v>REDOVNA DJELATNOST VELEUČILIŠTA I VISOKIH ŠKOLA (IZ EVIDENCIJSKIH PRIHODA)</v>
      </c>
      <c r="I101" s="80" t="str">
        <f t="shared" si="86"/>
        <v>0942</v>
      </c>
      <c r="J101" s="117">
        <v>1428</v>
      </c>
      <c r="K101" s="117"/>
      <c r="L101" s="117">
        <v>549.12</v>
      </c>
      <c r="M101" s="84"/>
      <c r="O101" s="75" t="str">
        <f t="shared" si="98"/>
        <v>323</v>
      </c>
      <c r="P101" s="75" t="str">
        <f t="shared" si="99"/>
        <v>32</v>
      </c>
      <c r="Q101" s="75" t="str">
        <f t="shared" si="100"/>
        <v>52</v>
      </c>
      <c r="R101" s="75" t="str">
        <f t="shared" si="101"/>
        <v>94</v>
      </c>
      <c r="AB101"/>
      <c r="AC101"/>
    </row>
    <row r="102" spans="1:29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52</v>
      </c>
      <c r="D102" s="80" t="str">
        <f t="shared" si="102"/>
        <v>Ostale pomoći</v>
      </c>
      <c r="E102" s="85">
        <v>3239</v>
      </c>
      <c r="F102" s="80" t="str">
        <f t="shared" si="84"/>
        <v>Ostale usluge</v>
      </c>
      <c r="G102" s="118" t="s">
        <v>187</v>
      </c>
      <c r="H102" s="80" t="str">
        <f t="shared" si="85"/>
        <v>REDOVNA DJELATNOST VELEUČILIŠTA I VISOKIH ŠKOLA (IZ EVIDENCIJSKIH PRIHODA)</v>
      </c>
      <c r="I102" s="80" t="str">
        <f t="shared" si="86"/>
        <v>0942</v>
      </c>
      <c r="J102" s="117">
        <v>5739</v>
      </c>
      <c r="K102" s="117"/>
      <c r="L102" s="117">
        <v>5607.0199999999995</v>
      </c>
      <c r="M102" s="84"/>
      <c r="O102" s="75" t="str">
        <f t="shared" si="98"/>
        <v>323</v>
      </c>
      <c r="P102" s="75" t="str">
        <f t="shared" si="99"/>
        <v>32</v>
      </c>
      <c r="Q102" s="75" t="str">
        <f t="shared" si="100"/>
        <v>52</v>
      </c>
      <c r="R102" s="75" t="str">
        <f t="shared" si="101"/>
        <v>94</v>
      </c>
      <c r="AB102"/>
      <c r="AC102"/>
    </row>
    <row r="103" spans="1:29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52</v>
      </c>
      <c r="D103" s="80" t="str">
        <f t="shared" si="102"/>
        <v>Ostale pomoći</v>
      </c>
      <c r="E103" s="85">
        <v>3241</v>
      </c>
      <c r="F103" s="80" t="str">
        <f t="shared" si="84"/>
        <v>Naknade troškova osobama izvan radnog odnosa</v>
      </c>
      <c r="G103" s="118" t="s">
        <v>187</v>
      </c>
      <c r="H103" s="80" t="str">
        <f t="shared" si="85"/>
        <v>REDOVNA DJELATNOST VELEUČILIŠTA I VISOKIH ŠKOLA (IZ EVIDENCIJSKIH PRIHODA)</v>
      </c>
      <c r="I103" s="80" t="str">
        <f t="shared" si="86"/>
        <v>0942</v>
      </c>
      <c r="J103" s="117">
        <v>1590</v>
      </c>
      <c r="K103" s="117"/>
      <c r="L103" s="117">
        <v>4011.97</v>
      </c>
      <c r="M103" s="84"/>
      <c r="O103" s="75" t="str">
        <f t="shared" si="98"/>
        <v>324</v>
      </c>
      <c r="P103" s="75" t="str">
        <f t="shared" si="99"/>
        <v>32</v>
      </c>
      <c r="Q103" s="75" t="str">
        <f t="shared" si="100"/>
        <v>52</v>
      </c>
      <c r="R103" s="75" t="str">
        <f t="shared" si="101"/>
        <v>94</v>
      </c>
      <c r="AB103"/>
      <c r="AC103"/>
    </row>
    <row r="104" spans="1:29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52</v>
      </c>
      <c r="D104" s="80" t="str">
        <f t="shared" si="102"/>
        <v>Ostale pomoći</v>
      </c>
      <c r="E104" s="85">
        <v>3291</v>
      </c>
      <c r="F104" s="80" t="str">
        <f t="shared" si="84"/>
        <v>Naknade za rad predstavničkih i izvršnih tijela, povjerensta</v>
      </c>
      <c r="G104" s="118" t="s">
        <v>187</v>
      </c>
      <c r="H104" s="80" t="str">
        <f t="shared" si="85"/>
        <v>REDOVNA DJELATNOST VELEUČILIŠTA I VISOKIH ŠKOLA (IZ EVIDENCIJSKIH PRIHODA)</v>
      </c>
      <c r="I104" s="80" t="str">
        <f t="shared" si="86"/>
        <v>0942</v>
      </c>
      <c r="J104" s="117">
        <v>5506</v>
      </c>
      <c r="K104" s="117"/>
      <c r="L104" s="117"/>
      <c r="M104" s="84"/>
      <c r="O104" s="75" t="str">
        <f t="shared" si="98"/>
        <v>329</v>
      </c>
      <c r="P104" s="75" t="str">
        <f t="shared" si="99"/>
        <v>32</v>
      </c>
      <c r="Q104" s="75" t="str">
        <f t="shared" si="100"/>
        <v>52</v>
      </c>
      <c r="R104" s="75" t="str">
        <f t="shared" si="101"/>
        <v>94</v>
      </c>
      <c r="AB104"/>
      <c r="AC104"/>
    </row>
    <row r="105" spans="1:29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52</v>
      </c>
      <c r="D105" s="80" t="str">
        <f t="shared" si="102"/>
        <v>Ostale pomoći</v>
      </c>
      <c r="E105" s="85">
        <v>3293</v>
      </c>
      <c r="F105" s="80" t="str">
        <f t="shared" si="84"/>
        <v>Reprezentacija</v>
      </c>
      <c r="G105" s="118" t="s">
        <v>187</v>
      </c>
      <c r="H105" s="80" t="str">
        <f t="shared" si="85"/>
        <v>REDOVNA DJELATNOST VELEUČILIŠTA I VISOKIH ŠKOLA (IZ EVIDENCIJSKIH PRIHODA)</v>
      </c>
      <c r="I105" s="80" t="str">
        <f t="shared" si="86"/>
        <v>0942</v>
      </c>
      <c r="J105" s="117">
        <v>1998</v>
      </c>
      <c r="K105" s="117"/>
      <c r="L105" s="117"/>
      <c r="M105" s="84"/>
      <c r="O105" s="75" t="str">
        <f t="shared" si="98"/>
        <v>329</v>
      </c>
      <c r="P105" s="75" t="str">
        <f t="shared" si="99"/>
        <v>32</v>
      </c>
      <c r="Q105" s="75" t="str">
        <f t="shared" si="100"/>
        <v>52</v>
      </c>
      <c r="R105" s="75" t="str">
        <f t="shared" si="101"/>
        <v>94</v>
      </c>
      <c r="AB105"/>
      <c r="AC105"/>
    </row>
    <row r="106" spans="1:29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52</v>
      </c>
      <c r="D106" s="80" t="str">
        <f t="shared" si="102"/>
        <v>Ostale pomoći</v>
      </c>
      <c r="E106" s="85">
        <v>3294</v>
      </c>
      <c r="F106" s="80" t="str">
        <f t="shared" si="84"/>
        <v>Članarine i norme</v>
      </c>
      <c r="G106" s="118" t="s">
        <v>187</v>
      </c>
      <c r="H106" s="80" t="str">
        <f t="shared" si="85"/>
        <v>REDOVNA DJELATNOST VELEUČILIŠTA I VISOKIH ŠKOLA (IZ EVIDENCIJSKIH PRIHODA)</v>
      </c>
      <c r="I106" s="80" t="str">
        <f t="shared" si="86"/>
        <v>0942</v>
      </c>
      <c r="J106" s="117">
        <v>165</v>
      </c>
      <c r="K106" s="117"/>
      <c r="L106" s="117">
        <v>196.42</v>
      </c>
      <c r="M106" s="84"/>
      <c r="O106" s="75" t="str">
        <f t="shared" si="98"/>
        <v>329</v>
      </c>
      <c r="P106" s="75" t="str">
        <f t="shared" si="99"/>
        <v>32</v>
      </c>
      <c r="Q106" s="75" t="str">
        <f t="shared" si="100"/>
        <v>52</v>
      </c>
      <c r="R106" s="75" t="str">
        <f t="shared" si="101"/>
        <v>94</v>
      </c>
      <c r="AB106"/>
      <c r="AC106"/>
    </row>
    <row r="107" spans="1:29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52</v>
      </c>
      <c r="D107" s="80" t="str">
        <f t="shared" si="102"/>
        <v>Ostale pomoći</v>
      </c>
      <c r="E107" s="85">
        <v>3299</v>
      </c>
      <c r="F107" s="80" t="str">
        <f t="shared" si="84"/>
        <v>Ostali nespomenuti rashodi poslovanja</v>
      </c>
      <c r="G107" s="118" t="s">
        <v>187</v>
      </c>
      <c r="H107" s="80" t="str">
        <f t="shared" si="85"/>
        <v>REDOVNA DJELATNOST VELEUČILIŠTA I VISOKIH ŠKOLA (IZ EVIDENCIJSKIH PRIHODA)</v>
      </c>
      <c r="I107" s="80" t="str">
        <f t="shared" si="86"/>
        <v>0942</v>
      </c>
      <c r="J107" s="117">
        <v>9846</v>
      </c>
      <c r="K107" s="117"/>
      <c r="L107" s="117">
        <v>6306.08</v>
      </c>
      <c r="M107" s="84"/>
      <c r="O107" s="75" t="str">
        <f t="shared" si="98"/>
        <v>329</v>
      </c>
      <c r="P107" s="75" t="str">
        <f t="shared" si="99"/>
        <v>32</v>
      </c>
      <c r="Q107" s="75" t="str">
        <f t="shared" si="100"/>
        <v>52</v>
      </c>
      <c r="R107" s="75" t="str">
        <f t="shared" si="101"/>
        <v>94</v>
      </c>
      <c r="AB107"/>
      <c r="AC107"/>
    </row>
    <row r="108" spans="1:29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52</v>
      </c>
      <c r="D108" s="80" t="str">
        <f t="shared" si="102"/>
        <v>Ostale pomoći</v>
      </c>
      <c r="E108" s="85">
        <v>3431</v>
      </c>
      <c r="F108" s="80" t="str">
        <f t="shared" si="84"/>
        <v>Bankarske usluge i usluge platnog prometa</v>
      </c>
      <c r="G108" s="118" t="s">
        <v>187</v>
      </c>
      <c r="H108" s="80" t="str">
        <f t="shared" si="85"/>
        <v>REDOVNA DJELATNOST VELEUČILIŠTA I VISOKIH ŠKOLA (IZ EVIDENCIJSKIH PRIHODA)</v>
      </c>
      <c r="I108" s="80" t="str">
        <f t="shared" si="86"/>
        <v>0942</v>
      </c>
      <c r="J108" s="117"/>
      <c r="K108" s="117"/>
      <c r="L108" s="117">
        <v>168.16</v>
      </c>
      <c r="M108" s="84"/>
      <c r="O108" s="75" t="str">
        <f t="shared" si="98"/>
        <v>343</v>
      </c>
      <c r="P108" s="75" t="str">
        <f t="shared" si="99"/>
        <v>34</v>
      </c>
      <c r="Q108" s="75" t="str">
        <f t="shared" si="100"/>
        <v>52</v>
      </c>
      <c r="R108" s="75" t="str">
        <f t="shared" si="101"/>
        <v>94</v>
      </c>
      <c r="AB108"/>
      <c r="AC108"/>
    </row>
    <row r="109" spans="1:29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52</v>
      </c>
      <c r="D109" s="80" t="str">
        <f t="shared" si="102"/>
        <v>Ostale pomoći</v>
      </c>
      <c r="E109" s="85">
        <v>3432</v>
      </c>
      <c r="F109" s="80" t="str">
        <f t="shared" si="84"/>
        <v>Negativne tečajne razlike i razlike zbog primjene valutne kl</v>
      </c>
      <c r="G109" s="118" t="s">
        <v>187</v>
      </c>
      <c r="H109" s="80" t="str">
        <f t="shared" si="85"/>
        <v>REDOVNA DJELATNOST VELEUČILIŠTA I VISOKIH ŠKOLA (IZ EVIDENCIJSKIH PRIHODA)</v>
      </c>
      <c r="I109" s="80" t="str">
        <f t="shared" si="86"/>
        <v>0942</v>
      </c>
      <c r="J109" s="117">
        <v>16</v>
      </c>
      <c r="K109" s="117"/>
      <c r="L109" s="117"/>
      <c r="M109" s="84"/>
      <c r="O109" s="75" t="str">
        <f t="shared" si="98"/>
        <v>343</v>
      </c>
      <c r="P109" s="75" t="str">
        <f t="shared" si="99"/>
        <v>34</v>
      </c>
      <c r="Q109" s="75" t="str">
        <f t="shared" si="100"/>
        <v>52</v>
      </c>
      <c r="R109" s="75" t="str">
        <f t="shared" si="101"/>
        <v>94</v>
      </c>
      <c r="AB109"/>
      <c r="AC109"/>
    </row>
    <row r="110" spans="1:29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52</v>
      </c>
      <c r="D110" s="80" t="str">
        <f t="shared" si="102"/>
        <v>Ostale pomoći</v>
      </c>
      <c r="E110" s="85">
        <v>3433</v>
      </c>
      <c r="F110" s="80" t="str">
        <f t="shared" si="84"/>
        <v>Zatezne kamate</v>
      </c>
      <c r="G110" s="118" t="s">
        <v>187</v>
      </c>
      <c r="H110" s="80" t="str">
        <f t="shared" si="85"/>
        <v>REDOVNA DJELATNOST VELEUČILIŠTA I VISOKIH ŠKOLA (IZ EVIDENCIJSKIH PRIHODA)</v>
      </c>
      <c r="I110" s="80" t="str">
        <f t="shared" si="86"/>
        <v>0942</v>
      </c>
      <c r="J110" s="117">
        <v>7080</v>
      </c>
      <c r="K110" s="117"/>
      <c r="L110" s="117"/>
      <c r="M110" s="84"/>
      <c r="O110" s="75" t="str">
        <f t="shared" si="98"/>
        <v>343</v>
      </c>
      <c r="P110" s="75" t="str">
        <f t="shared" si="99"/>
        <v>34</v>
      </c>
      <c r="Q110" s="75" t="str">
        <f t="shared" si="100"/>
        <v>52</v>
      </c>
      <c r="R110" s="75" t="str">
        <f t="shared" si="101"/>
        <v>94</v>
      </c>
      <c r="AB110"/>
      <c r="AC110"/>
    </row>
    <row r="111" spans="1:29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52</v>
      </c>
      <c r="D111" s="80" t="str">
        <f t="shared" si="102"/>
        <v>Ostale pomoći</v>
      </c>
      <c r="E111" s="85">
        <v>3621</v>
      </c>
      <c r="F111" s="80" t="str">
        <f t="shared" si="84"/>
        <v>Tekuće pomoći međunarodnim organizacijama te institucijama i</v>
      </c>
      <c r="G111" s="118" t="s">
        <v>187</v>
      </c>
      <c r="H111" s="80" t="str">
        <f t="shared" si="85"/>
        <v>REDOVNA DJELATNOST VELEUČILIŠTA I VISOKIH ŠKOLA (IZ EVIDENCIJSKIH PRIHODA)</v>
      </c>
      <c r="I111" s="80" t="str">
        <f t="shared" si="86"/>
        <v>0942</v>
      </c>
      <c r="J111" s="117">
        <v>98499</v>
      </c>
      <c r="K111" s="117"/>
      <c r="L111" s="117"/>
      <c r="M111" s="84"/>
      <c r="O111" s="75" t="str">
        <f t="shared" si="98"/>
        <v>362</v>
      </c>
      <c r="P111" s="75" t="str">
        <f t="shared" si="99"/>
        <v>36</v>
      </c>
      <c r="Q111" s="75" t="str">
        <f t="shared" si="100"/>
        <v>52</v>
      </c>
      <c r="R111" s="75" t="str">
        <f t="shared" si="101"/>
        <v>94</v>
      </c>
      <c r="AB111"/>
      <c r="AC111"/>
    </row>
    <row r="112" spans="1:29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52</v>
      </c>
      <c r="D112" s="80" t="str">
        <f t="shared" si="102"/>
        <v>Ostale pomoći</v>
      </c>
      <c r="E112" s="85">
        <v>3721</v>
      </c>
      <c r="F112" s="80" t="str">
        <f t="shared" si="84"/>
        <v>Naknade građanima i kućanstvima u novcu</v>
      </c>
      <c r="G112" s="118" t="s">
        <v>187</v>
      </c>
      <c r="H112" s="80" t="str">
        <f t="shared" si="85"/>
        <v>REDOVNA DJELATNOST VELEUČILIŠTA I VISOKIH ŠKOLA (IZ EVIDENCIJSKIH PRIHODA)</v>
      </c>
      <c r="I112" s="80" t="str">
        <f t="shared" si="86"/>
        <v>0942</v>
      </c>
      <c r="J112" s="117">
        <v>6490</v>
      </c>
      <c r="K112" s="117"/>
      <c r="L112" s="117">
        <v>350.08999999999969</v>
      </c>
      <c r="M112" s="84"/>
      <c r="O112" s="75" t="str">
        <f t="shared" si="98"/>
        <v>372</v>
      </c>
      <c r="P112" s="75" t="str">
        <f t="shared" si="99"/>
        <v>37</v>
      </c>
      <c r="Q112" s="75" t="str">
        <f t="shared" si="100"/>
        <v>52</v>
      </c>
      <c r="R112" s="75" t="str">
        <f t="shared" si="101"/>
        <v>94</v>
      </c>
      <c r="AB112"/>
      <c r="AC112"/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52</v>
      </c>
      <c r="D113" s="80" t="str">
        <f t="shared" si="102"/>
        <v>Ostale pomoći</v>
      </c>
      <c r="E113" s="85">
        <v>3811</v>
      </c>
      <c r="F113" s="80" t="str">
        <f t="shared" si="84"/>
        <v>Tekuće donacije u novcu</v>
      </c>
      <c r="G113" s="118" t="s">
        <v>187</v>
      </c>
      <c r="H113" s="80" t="str">
        <f t="shared" si="85"/>
        <v>REDOVNA DJELATNOST VELEUČILIŠTA I VISOKIH ŠKOLA (IZ EVIDENCIJSKIH PRIHODA)</v>
      </c>
      <c r="I113" s="80" t="str">
        <f t="shared" si="86"/>
        <v>0942</v>
      </c>
      <c r="J113" s="117">
        <v>138</v>
      </c>
      <c r="K113" s="117"/>
      <c r="L113" s="117"/>
      <c r="M113" s="84"/>
      <c r="O113" s="75" t="str">
        <f t="shared" si="98"/>
        <v>381</v>
      </c>
      <c r="P113" s="75" t="str">
        <f t="shared" si="99"/>
        <v>38</v>
      </c>
      <c r="Q113" s="75" t="str">
        <f t="shared" si="100"/>
        <v>52</v>
      </c>
      <c r="R113" s="75" t="str">
        <f t="shared" si="101"/>
        <v>94</v>
      </c>
      <c r="AB113"/>
      <c r="AC113"/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52</v>
      </c>
      <c r="D114" s="80" t="str">
        <f>IFERROR(VLOOKUP(C114,$S$7:$T$48,2,FALSE),"")</f>
        <v>Ostale pomoći</v>
      </c>
      <c r="E114" s="85">
        <v>4212</v>
      </c>
      <c r="F114" s="80" t="str">
        <f t="shared" si="84"/>
        <v>Poslovni objekti</v>
      </c>
      <c r="G114" s="118" t="s">
        <v>187</v>
      </c>
      <c r="H114" s="80" t="str">
        <f t="shared" si="85"/>
        <v>REDOVNA DJELATNOST VELEUČILIŠTA I VISOKIH ŠKOLA (IZ EVIDENCIJSKIH PRIHODA)</v>
      </c>
      <c r="I114" s="80" t="str">
        <f t="shared" si="86"/>
        <v>0942</v>
      </c>
      <c r="J114" s="117">
        <v>1643</v>
      </c>
      <c r="K114" s="117"/>
      <c r="L114" s="117"/>
      <c r="M114" s="84"/>
      <c r="O114" s="75" t="str">
        <f t="shared" si="98"/>
        <v>421</v>
      </c>
      <c r="P114" s="75" t="str">
        <f t="shared" si="99"/>
        <v>42</v>
      </c>
      <c r="Q114" s="75" t="str">
        <f t="shared" si="100"/>
        <v>52</v>
      </c>
      <c r="R114" s="75" t="str">
        <f t="shared" si="101"/>
        <v>94</v>
      </c>
      <c r="AB114"/>
      <c r="AC114"/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52</v>
      </c>
      <c r="D115" s="80" t="str">
        <f>IFERROR(VLOOKUP(C115,$S$7:$T$48,2,FALSE),"")</f>
        <v>Ostale pomoći</v>
      </c>
      <c r="E115" s="85">
        <v>4221</v>
      </c>
      <c r="F115" s="80" t="str">
        <f t="shared" si="84"/>
        <v>Uredska oprema i namještaj</v>
      </c>
      <c r="G115" s="118" t="s">
        <v>187</v>
      </c>
      <c r="H115" s="80" t="str">
        <f t="shared" si="85"/>
        <v>REDOVNA DJELATNOST VELEUČILIŠTA I VISOKIH ŠKOLA (IZ EVIDENCIJSKIH PRIHODA)</v>
      </c>
      <c r="I115" s="80" t="str">
        <f t="shared" si="86"/>
        <v>0942</v>
      </c>
      <c r="J115" s="117">
        <v>34371</v>
      </c>
      <c r="K115" s="117"/>
      <c r="L115" s="117"/>
      <c r="M115" s="84"/>
      <c r="O115" s="75" t="str">
        <f t="shared" si="98"/>
        <v>422</v>
      </c>
      <c r="P115" s="75" t="str">
        <f t="shared" si="99"/>
        <v>42</v>
      </c>
      <c r="Q115" s="75" t="str">
        <f t="shared" si="100"/>
        <v>52</v>
      </c>
      <c r="R115" s="75" t="str">
        <f t="shared" si="101"/>
        <v>94</v>
      </c>
      <c r="AB115"/>
      <c r="AC115"/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52</v>
      </c>
      <c r="D116" s="80" t="str">
        <f>IFERROR(VLOOKUP(C116,$S$7:$T$48,2,FALSE),"")</f>
        <v>Ostale pomoći</v>
      </c>
      <c r="E116" s="85">
        <v>4227</v>
      </c>
      <c r="F116" s="80" t="str">
        <f t="shared" si="84"/>
        <v>Uređaji, strojevi i oprema za ostale namjene</v>
      </c>
      <c r="G116" s="118" t="s">
        <v>187</v>
      </c>
      <c r="H116" s="80" t="str">
        <f t="shared" si="85"/>
        <v>REDOVNA DJELATNOST VELEUČILIŠTA I VISOKIH ŠKOLA (IZ EVIDENCIJSKIH PRIHODA)</v>
      </c>
      <c r="I116" s="80" t="str">
        <f t="shared" si="86"/>
        <v>0942</v>
      </c>
      <c r="J116" s="117">
        <v>1192</v>
      </c>
      <c r="K116" s="117"/>
      <c r="L116" s="117"/>
      <c r="M116" s="84"/>
      <c r="O116" s="75" t="str">
        <f t="shared" si="98"/>
        <v>422</v>
      </c>
      <c r="P116" s="75" t="str">
        <f t="shared" si="99"/>
        <v>42</v>
      </c>
      <c r="Q116" s="75" t="str">
        <f t="shared" si="100"/>
        <v>52</v>
      </c>
      <c r="R116" s="75" t="str">
        <f t="shared" si="101"/>
        <v>94</v>
      </c>
      <c r="AB116"/>
      <c r="AC116"/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52</v>
      </c>
      <c r="D117" s="80" t="str">
        <f t="shared" si="102"/>
        <v>Ostale pomoći</v>
      </c>
      <c r="E117" s="85">
        <v>4241</v>
      </c>
      <c r="F117" s="80" t="str">
        <f t="shared" si="84"/>
        <v>Knjige</v>
      </c>
      <c r="G117" s="118" t="s">
        <v>187</v>
      </c>
      <c r="H117" s="80" t="str">
        <f t="shared" si="85"/>
        <v>REDOVNA DJELATNOST VELEUČILIŠTA I VISOKIH ŠKOLA (IZ EVIDENCIJSKIH PRIHODA)</v>
      </c>
      <c r="I117" s="80" t="str">
        <f t="shared" si="86"/>
        <v>0942</v>
      </c>
      <c r="J117" s="117">
        <v>5416</v>
      </c>
      <c r="K117" s="117"/>
      <c r="L117" s="117">
        <v>1073.0899999999999</v>
      </c>
      <c r="M117" s="84"/>
      <c r="O117" s="75" t="str">
        <f t="shared" si="98"/>
        <v>424</v>
      </c>
      <c r="P117" s="75" t="str">
        <f t="shared" si="99"/>
        <v>42</v>
      </c>
      <c r="Q117" s="75" t="str">
        <f t="shared" si="100"/>
        <v>52</v>
      </c>
      <c r="R117" s="75" t="str">
        <f t="shared" si="101"/>
        <v>94</v>
      </c>
      <c r="AB117"/>
      <c r="AC117"/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51</v>
      </c>
      <c r="D118" s="80" t="str">
        <f t="shared" si="102"/>
        <v>Pomoći EU</v>
      </c>
      <c r="E118" s="85">
        <v>3121</v>
      </c>
      <c r="F118" s="80" t="str">
        <f t="shared" si="84"/>
        <v>Ostali rashodi za zaposlene</v>
      </c>
      <c r="G118" s="118" t="s">
        <v>187</v>
      </c>
      <c r="H118" s="80" t="str">
        <f t="shared" si="85"/>
        <v>REDOVNA DJELATNOST VELEUČILIŠTA I VISOKIH ŠKOLA (IZ EVIDENCIJSKIH PRIHODA)</v>
      </c>
      <c r="I118" s="80" t="str">
        <f t="shared" si="86"/>
        <v>0942</v>
      </c>
      <c r="J118" s="117">
        <v>5834.19</v>
      </c>
      <c r="K118" s="117"/>
      <c r="L118" s="117"/>
      <c r="M118" s="84"/>
      <c r="O118" s="75" t="str">
        <f t="shared" si="98"/>
        <v>312</v>
      </c>
      <c r="P118" s="75" t="str">
        <f t="shared" si="99"/>
        <v>31</v>
      </c>
      <c r="Q118" s="75" t="str">
        <f t="shared" si="100"/>
        <v>51</v>
      </c>
      <c r="R118" s="75" t="str">
        <f t="shared" si="101"/>
        <v>94</v>
      </c>
      <c r="AB118"/>
      <c r="AC118"/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51</v>
      </c>
      <c r="D119" s="80" t="str">
        <f t="shared" si="102"/>
        <v>Pomoći EU</v>
      </c>
      <c r="E119" s="85">
        <v>3211</v>
      </c>
      <c r="F119" s="80" t="str">
        <f t="shared" si="84"/>
        <v>Službena putovanja</v>
      </c>
      <c r="G119" s="118" t="s">
        <v>187</v>
      </c>
      <c r="H119" s="80" t="str">
        <f t="shared" si="85"/>
        <v>REDOVNA DJELATNOST VELEUČILIŠTA I VISOKIH ŠKOLA (IZ EVIDENCIJSKIH PRIHODA)</v>
      </c>
      <c r="I119" s="80" t="str">
        <f t="shared" si="86"/>
        <v>0942</v>
      </c>
      <c r="J119" s="117">
        <v>160.12</v>
      </c>
      <c r="K119" s="117"/>
      <c r="L119" s="117"/>
      <c r="M119" s="84"/>
      <c r="O119" s="75" t="str">
        <f t="shared" si="98"/>
        <v>321</v>
      </c>
      <c r="P119" s="75" t="str">
        <f t="shared" si="99"/>
        <v>32</v>
      </c>
      <c r="Q119" s="75" t="str">
        <f t="shared" si="100"/>
        <v>51</v>
      </c>
      <c r="R119" s="75" t="str">
        <f t="shared" si="101"/>
        <v>94</v>
      </c>
      <c r="AB119"/>
      <c r="AC119"/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51</v>
      </c>
      <c r="D120" s="80" t="str">
        <f t="shared" si="102"/>
        <v>Pomoći EU</v>
      </c>
      <c r="E120" s="85">
        <v>3213</v>
      </c>
      <c r="F120" s="80" t="str">
        <f t="shared" si="84"/>
        <v>Stručno usavršavanje zaposlenika</v>
      </c>
      <c r="G120" s="118" t="s">
        <v>187</v>
      </c>
      <c r="H120" s="80" t="str">
        <f t="shared" si="85"/>
        <v>REDOVNA DJELATNOST VELEUČILIŠTA I VISOKIH ŠKOLA (IZ EVIDENCIJSKIH PRIHODA)</v>
      </c>
      <c r="I120" s="80" t="str">
        <f t="shared" si="86"/>
        <v>0942</v>
      </c>
      <c r="J120" s="117">
        <v>1194.51</v>
      </c>
      <c r="K120" s="117"/>
      <c r="L120" s="117"/>
      <c r="M120" s="84"/>
      <c r="O120" s="75" t="str">
        <f t="shared" si="98"/>
        <v>321</v>
      </c>
      <c r="P120" s="75" t="str">
        <f t="shared" si="99"/>
        <v>32</v>
      </c>
      <c r="Q120" s="75" t="str">
        <f t="shared" si="100"/>
        <v>51</v>
      </c>
      <c r="R120" s="75" t="str">
        <f t="shared" si="101"/>
        <v>94</v>
      </c>
      <c r="AB120"/>
      <c r="AC120"/>
    </row>
    <row r="121" spans="1:33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51</v>
      </c>
      <c r="D121" s="80" t="str">
        <f>IFERROR(VLOOKUP(C121,$S$7:$T$48,2,FALSE),"")</f>
        <v>Pomoći EU</v>
      </c>
      <c r="E121" s="85">
        <v>3214</v>
      </c>
      <c r="F121" s="80" t="str">
        <f t="shared" si="84"/>
        <v>Ostale naknade troškova zaposlenima</v>
      </c>
      <c r="G121" s="118" t="s">
        <v>187</v>
      </c>
      <c r="H121" s="80" t="str">
        <f t="shared" si="85"/>
        <v>REDOVNA DJELATNOST VELEUČILIŠTA I VISOKIH ŠKOLA (IZ EVIDENCIJSKIH PRIHODA)</v>
      </c>
      <c r="I121" s="80" t="str">
        <f t="shared" si="86"/>
        <v>0942</v>
      </c>
      <c r="J121" s="117">
        <v>45.13</v>
      </c>
      <c r="K121" s="117"/>
      <c r="L121" s="117">
        <v>237.67</v>
      </c>
      <c r="M121" s="84"/>
      <c r="O121" s="75" t="str">
        <f t="shared" si="98"/>
        <v>321</v>
      </c>
      <c r="P121" s="75" t="str">
        <f t="shared" si="99"/>
        <v>32</v>
      </c>
      <c r="Q121" s="75" t="str">
        <f t="shared" si="100"/>
        <v>51</v>
      </c>
      <c r="R121" s="75" t="str">
        <f t="shared" si="101"/>
        <v>94</v>
      </c>
      <c r="V121" s="75">
        <v>3632</v>
      </c>
      <c r="W121" s="75" t="s">
        <v>235</v>
      </c>
      <c r="Y121" s="290" t="str">
        <f t="shared" si="87"/>
        <v>36</v>
      </c>
      <c r="Z121" s="75" t="str">
        <f t="shared" si="88"/>
        <v>363</v>
      </c>
      <c r="AB121" t="s">
        <v>1852</v>
      </c>
      <c r="AC121" t="s">
        <v>1853</v>
      </c>
      <c r="AD121" s="75" t="s">
        <v>5160</v>
      </c>
      <c r="AE121" s="75" t="s">
        <v>5161</v>
      </c>
      <c r="AF121" s="75" t="s">
        <v>5168</v>
      </c>
      <c r="AG121" s="75" t="s">
        <v>5181</v>
      </c>
    </row>
    <row r="122" spans="1:33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51</v>
      </c>
      <c r="D122" s="80" t="str">
        <f>IFERROR(VLOOKUP(C122,$S$7:$T$48,2,FALSE),"")</f>
        <v>Pomoći EU</v>
      </c>
      <c r="E122" s="85">
        <v>3221</v>
      </c>
      <c r="F122" s="80" t="str">
        <f t="shared" si="84"/>
        <v>Uredski materijal i ostali materijalni rashodi</v>
      </c>
      <c r="G122" s="118" t="s">
        <v>187</v>
      </c>
      <c r="H122" s="80" t="str">
        <f t="shared" si="85"/>
        <v>REDOVNA DJELATNOST VELEUČILIŠTA I VISOKIH ŠKOLA (IZ EVIDENCIJSKIH PRIHODA)</v>
      </c>
      <c r="I122" s="80" t="str">
        <f t="shared" si="86"/>
        <v>0942</v>
      </c>
      <c r="J122" s="117">
        <v>1472.68</v>
      </c>
      <c r="K122" s="117"/>
      <c r="L122" s="117">
        <v>6512.4800000000005</v>
      </c>
      <c r="M122" s="84"/>
      <c r="O122" s="75" t="str">
        <f t="shared" si="98"/>
        <v>322</v>
      </c>
      <c r="P122" s="75" t="str">
        <f t="shared" si="99"/>
        <v>32</v>
      </c>
      <c r="Q122" s="75" t="str">
        <f t="shared" si="100"/>
        <v>51</v>
      </c>
      <c r="R122" s="75" t="str">
        <f t="shared" si="101"/>
        <v>94</v>
      </c>
      <c r="V122" s="75">
        <v>3661</v>
      </c>
      <c r="W122" s="75" t="s">
        <v>99</v>
      </c>
      <c r="Y122" s="290" t="str">
        <f t="shared" si="87"/>
        <v>36</v>
      </c>
      <c r="Z122" s="75" t="str">
        <f t="shared" si="88"/>
        <v>366</v>
      </c>
      <c r="AB122" t="s">
        <v>1854</v>
      </c>
      <c r="AC122" t="s">
        <v>1855</v>
      </c>
      <c r="AD122" s="75" t="s">
        <v>5160</v>
      </c>
      <c r="AE122" s="75" t="s">
        <v>5161</v>
      </c>
      <c r="AF122" s="75" t="s">
        <v>5168</v>
      </c>
      <c r="AG122" s="75" t="s">
        <v>5181</v>
      </c>
    </row>
    <row r="123" spans="1:33">
      <c r="A123" s="79" t="str">
        <f>IF(C123="","",VLOOKUP('OPĆI DIO'!$C$3,'OPĆI DIO'!$L$6:$U$138,10,FALSE))</f>
        <v>08006</v>
      </c>
      <c r="B123" s="79" t="str">
        <f>IF(C123="","",VLOOKUP('OPĆI DIO'!$C$3,'OPĆI DIO'!$L$6:$U$138,9,FALSE))</f>
        <v>Sveučilišta i veleučilišta u Republici Hrvatskoj</v>
      </c>
      <c r="C123" s="85">
        <v>51</v>
      </c>
      <c r="D123" s="80" t="str">
        <f t="shared" ref="D123:D131" si="103">IFERROR(VLOOKUP(C123,$S$7:$T$48,2,FALSE),"")</f>
        <v>Pomoći EU</v>
      </c>
      <c r="E123" s="85">
        <v>3223</v>
      </c>
      <c r="F123" s="80" t="str">
        <f t="shared" si="84"/>
        <v>Energija</v>
      </c>
      <c r="G123" s="118" t="s">
        <v>187</v>
      </c>
      <c r="H123" s="80" t="str">
        <f t="shared" si="85"/>
        <v>REDOVNA DJELATNOST VELEUČILIŠTA I VISOKIH ŠKOLA (IZ EVIDENCIJSKIH PRIHODA)</v>
      </c>
      <c r="I123" s="80" t="str">
        <f t="shared" si="86"/>
        <v>0942</v>
      </c>
      <c r="J123" s="117">
        <v>3322.3700000000003</v>
      </c>
      <c r="K123" s="117"/>
      <c r="L123" s="117">
        <v>6473.87</v>
      </c>
      <c r="M123" s="84"/>
      <c r="O123" s="75" t="str">
        <f t="shared" si="98"/>
        <v>322</v>
      </c>
      <c r="P123" s="75" t="str">
        <f t="shared" si="99"/>
        <v>32</v>
      </c>
      <c r="Q123" s="75" t="str">
        <f t="shared" si="100"/>
        <v>51</v>
      </c>
      <c r="R123" s="75" t="str">
        <f t="shared" si="101"/>
        <v>94</v>
      </c>
      <c r="V123" s="75">
        <v>3662</v>
      </c>
      <c r="W123" s="75" t="s">
        <v>182</v>
      </c>
      <c r="Y123" s="290" t="str">
        <f t="shared" si="87"/>
        <v>36</v>
      </c>
      <c r="Z123" s="75" t="str">
        <f t="shared" si="88"/>
        <v>366</v>
      </c>
      <c r="AB123" t="s">
        <v>1856</v>
      </c>
      <c r="AC123" t="s">
        <v>1857</v>
      </c>
      <c r="AD123" s="75" t="s">
        <v>5160</v>
      </c>
      <c r="AE123" s="75" t="s">
        <v>5161</v>
      </c>
      <c r="AF123" s="75" t="s">
        <v>5168</v>
      </c>
      <c r="AG123" s="75" t="s">
        <v>5181</v>
      </c>
    </row>
    <row r="124" spans="1:33">
      <c r="A124" s="79" t="str">
        <f>IF(C124="","",VLOOKUP('OPĆI DIO'!$C$3,'OPĆI DIO'!$L$6:$U$138,10,FALSE))</f>
        <v>08006</v>
      </c>
      <c r="B124" s="79" t="str">
        <f>IF(C124="","",VLOOKUP('OPĆI DIO'!$C$3,'OPĆI DIO'!$L$6:$U$138,9,FALSE))</f>
        <v>Sveučilišta i veleučilišta u Republici Hrvatskoj</v>
      </c>
      <c r="C124" s="85">
        <v>51</v>
      </c>
      <c r="D124" s="80" t="str">
        <f t="shared" si="103"/>
        <v>Pomoći EU</v>
      </c>
      <c r="E124" s="85">
        <v>3225</v>
      </c>
      <c r="F124" s="80" t="str">
        <f t="shared" si="84"/>
        <v>Sitni inventar i auto gume</v>
      </c>
      <c r="G124" s="118" t="s">
        <v>187</v>
      </c>
      <c r="H124" s="80" t="str">
        <f t="shared" si="85"/>
        <v>REDOVNA DJELATNOST VELEUČILIŠTA I VISOKIH ŠKOLA (IZ EVIDENCIJSKIH PRIHODA)</v>
      </c>
      <c r="I124" s="80" t="str">
        <f t="shared" si="86"/>
        <v>0942</v>
      </c>
      <c r="J124" s="117">
        <v>926.07</v>
      </c>
      <c r="K124" s="117"/>
      <c r="L124" s="117"/>
      <c r="M124" s="84"/>
      <c r="O124" s="75" t="str">
        <f t="shared" si="98"/>
        <v>322</v>
      </c>
      <c r="P124" s="75" t="str">
        <f t="shared" si="99"/>
        <v>32</v>
      </c>
      <c r="Q124" s="75" t="str">
        <f t="shared" si="100"/>
        <v>51</v>
      </c>
      <c r="R124" s="75" t="str">
        <f t="shared" si="101"/>
        <v>94</v>
      </c>
      <c r="AB124"/>
      <c r="AC124"/>
    </row>
    <row r="125" spans="1:33">
      <c r="A125" s="79" t="str">
        <f>IF(C125="","",VLOOKUP('OPĆI DIO'!$C$3,'OPĆI DIO'!$L$6:$U$138,10,FALSE))</f>
        <v>08006</v>
      </c>
      <c r="B125" s="79" t="str">
        <f>IF(C125="","",VLOOKUP('OPĆI DIO'!$C$3,'OPĆI DIO'!$L$6:$U$138,9,FALSE))</f>
        <v>Sveučilišta i veleučilišta u Republici Hrvatskoj</v>
      </c>
      <c r="C125" s="85">
        <v>51</v>
      </c>
      <c r="D125" s="80" t="str">
        <f t="shared" si="103"/>
        <v>Pomoći EU</v>
      </c>
      <c r="E125" s="85">
        <v>3231</v>
      </c>
      <c r="F125" s="80" t="str">
        <f t="shared" si="84"/>
        <v>Usluge telefona, pošte i prijevoza</v>
      </c>
      <c r="G125" s="118" t="s">
        <v>187</v>
      </c>
      <c r="H125" s="80" t="str">
        <f t="shared" si="85"/>
        <v>REDOVNA DJELATNOST VELEUČILIŠTA I VISOKIH ŠKOLA (IZ EVIDENCIJSKIH PRIHODA)</v>
      </c>
      <c r="I125" s="80" t="str">
        <f t="shared" si="86"/>
        <v>0942</v>
      </c>
      <c r="J125" s="117">
        <v>3032.2599999999998</v>
      </c>
      <c r="K125" s="117"/>
      <c r="L125" s="117">
        <v>2087.27</v>
      </c>
      <c r="M125" s="84"/>
      <c r="O125" s="75" t="str">
        <f t="shared" si="98"/>
        <v>323</v>
      </c>
      <c r="P125" s="75" t="str">
        <f t="shared" si="99"/>
        <v>32</v>
      </c>
      <c r="Q125" s="75" t="str">
        <f t="shared" si="100"/>
        <v>51</v>
      </c>
      <c r="R125" s="75" t="str">
        <f t="shared" si="101"/>
        <v>94</v>
      </c>
      <c r="V125" s="75">
        <v>3681</v>
      </c>
      <c r="W125" s="75" t="s">
        <v>26</v>
      </c>
      <c r="Y125" s="290" t="str">
        <f t="shared" si="87"/>
        <v>36</v>
      </c>
      <c r="Z125" s="75" t="str">
        <f t="shared" si="88"/>
        <v>368</v>
      </c>
      <c r="AB125" t="s">
        <v>1858</v>
      </c>
      <c r="AC125" t="s">
        <v>1859</v>
      </c>
      <c r="AD125" s="75" t="s">
        <v>5160</v>
      </c>
      <c r="AE125" s="75" t="s">
        <v>5161</v>
      </c>
      <c r="AF125" s="75" t="s">
        <v>5168</v>
      </c>
      <c r="AG125" s="75" t="s">
        <v>5181</v>
      </c>
    </row>
    <row r="126" spans="1:33">
      <c r="A126" s="79" t="str">
        <f>IF(C126="","",VLOOKUP('OPĆI DIO'!$C$3,'OPĆI DIO'!$L$6:$U$138,10,FALSE))</f>
        <v>08006</v>
      </c>
      <c r="B126" s="79" t="str">
        <f>IF(C126="","",VLOOKUP('OPĆI DIO'!$C$3,'OPĆI DIO'!$L$6:$U$138,9,FALSE))</f>
        <v>Sveučilišta i veleučilišta u Republici Hrvatskoj</v>
      </c>
      <c r="C126" s="85">
        <v>51</v>
      </c>
      <c r="D126" s="80" t="str">
        <f t="shared" si="103"/>
        <v>Pomoći EU</v>
      </c>
      <c r="E126" s="85">
        <v>3232</v>
      </c>
      <c r="F126" s="80" t="str">
        <f t="shared" si="84"/>
        <v>Usluge tekućeg i investicijskog održavanja</v>
      </c>
      <c r="G126" s="118" t="s">
        <v>187</v>
      </c>
      <c r="H126" s="80" t="str">
        <f t="shared" si="85"/>
        <v>REDOVNA DJELATNOST VELEUČILIŠTA I VISOKIH ŠKOLA (IZ EVIDENCIJSKIH PRIHODA)</v>
      </c>
      <c r="I126" s="80" t="str">
        <f t="shared" si="86"/>
        <v>0942</v>
      </c>
      <c r="J126" s="117">
        <v>409.79</v>
      </c>
      <c r="K126" s="117"/>
      <c r="L126" s="117">
        <v>339.31999999999994</v>
      </c>
      <c r="M126" s="84"/>
      <c r="O126" s="75" t="str">
        <f t="shared" si="98"/>
        <v>323</v>
      </c>
      <c r="P126" s="75" t="str">
        <f t="shared" si="99"/>
        <v>32</v>
      </c>
      <c r="Q126" s="75" t="str">
        <f t="shared" si="100"/>
        <v>51</v>
      </c>
      <c r="R126" s="75" t="str">
        <f t="shared" si="101"/>
        <v>94</v>
      </c>
      <c r="V126" s="75">
        <v>3682</v>
      </c>
      <c r="W126" s="75" t="s">
        <v>27</v>
      </c>
      <c r="Y126" s="290" t="str">
        <f t="shared" si="87"/>
        <v>36</v>
      </c>
      <c r="Z126" s="75" t="str">
        <f t="shared" si="88"/>
        <v>368</v>
      </c>
      <c r="AB126" t="s">
        <v>1860</v>
      </c>
      <c r="AC126" t="s">
        <v>1861</v>
      </c>
      <c r="AD126" s="75" t="s">
        <v>5160</v>
      </c>
      <c r="AE126" s="75" t="s">
        <v>5161</v>
      </c>
      <c r="AF126" s="75" t="s">
        <v>5168</v>
      </c>
      <c r="AG126" s="75" t="s">
        <v>5181</v>
      </c>
    </row>
    <row r="127" spans="1:33">
      <c r="A127" s="79" t="str">
        <f>IF(C127="","",VLOOKUP('OPĆI DIO'!$C$3,'OPĆI DIO'!$L$6:$U$138,10,FALSE))</f>
        <v>08006</v>
      </c>
      <c r="B127" s="79" t="str">
        <f>IF(C127="","",VLOOKUP('OPĆI DIO'!$C$3,'OPĆI DIO'!$L$6:$U$138,9,FALSE))</f>
        <v>Sveučilišta i veleučilišta u Republici Hrvatskoj</v>
      </c>
      <c r="C127" s="85">
        <v>51</v>
      </c>
      <c r="D127" s="80" t="str">
        <f t="shared" si="103"/>
        <v>Pomoći EU</v>
      </c>
      <c r="E127" s="85">
        <v>3233</v>
      </c>
      <c r="F127" s="80" t="str">
        <f t="shared" si="84"/>
        <v>Usluge promidžbe i informiranja</v>
      </c>
      <c r="G127" s="118" t="s">
        <v>187</v>
      </c>
      <c r="H127" s="80" t="str">
        <f t="shared" si="85"/>
        <v>REDOVNA DJELATNOST VELEUČILIŠTA I VISOKIH ŠKOLA (IZ EVIDENCIJSKIH PRIHODA)</v>
      </c>
      <c r="I127" s="80" t="str">
        <f t="shared" si="86"/>
        <v>0942</v>
      </c>
      <c r="J127" s="117">
        <v>3884.63</v>
      </c>
      <c r="K127" s="117"/>
      <c r="L127" s="117">
        <v>1804.2</v>
      </c>
      <c r="M127" s="84"/>
      <c r="O127" s="75" t="str">
        <f t="shared" si="98"/>
        <v>323</v>
      </c>
      <c r="P127" s="75" t="str">
        <f t="shared" si="99"/>
        <v>32</v>
      </c>
      <c r="Q127" s="75" t="str">
        <f t="shared" si="100"/>
        <v>51</v>
      </c>
      <c r="R127" s="75" t="str">
        <f t="shared" si="101"/>
        <v>94</v>
      </c>
      <c r="V127" s="75">
        <v>3691</v>
      </c>
      <c r="W127" s="75" t="s">
        <v>104</v>
      </c>
      <c r="Y127" s="290" t="str">
        <f t="shared" si="87"/>
        <v>36</v>
      </c>
      <c r="Z127" s="75" t="str">
        <f t="shared" si="88"/>
        <v>369</v>
      </c>
      <c r="AB127" t="s">
        <v>1862</v>
      </c>
      <c r="AC127" t="s">
        <v>1863</v>
      </c>
      <c r="AD127" s="75" t="s">
        <v>5160</v>
      </c>
      <c r="AE127" s="75" t="s">
        <v>5161</v>
      </c>
      <c r="AF127" s="75" t="s">
        <v>5168</v>
      </c>
      <c r="AG127" s="75" t="s">
        <v>5181</v>
      </c>
    </row>
    <row r="128" spans="1:33">
      <c r="A128" s="79" t="str">
        <f>IF(C128="","",VLOOKUP('OPĆI DIO'!$C$3,'OPĆI DIO'!$L$6:$U$138,10,FALSE))</f>
        <v>08006</v>
      </c>
      <c r="B128" s="79" t="str">
        <f>IF(C128="","",VLOOKUP('OPĆI DIO'!$C$3,'OPĆI DIO'!$L$6:$U$138,9,FALSE))</f>
        <v>Sveučilišta i veleučilišta u Republici Hrvatskoj</v>
      </c>
      <c r="C128" s="85">
        <v>51</v>
      </c>
      <c r="D128" s="80" t="str">
        <f t="shared" si="103"/>
        <v>Pomoći EU</v>
      </c>
      <c r="E128" s="85">
        <v>3234</v>
      </c>
      <c r="F128" s="80" t="str">
        <f t="shared" si="84"/>
        <v>Komunalne usluge</v>
      </c>
      <c r="G128" s="118" t="s">
        <v>187</v>
      </c>
      <c r="H128" s="80" t="str">
        <f t="shared" si="85"/>
        <v>REDOVNA DJELATNOST VELEUČILIŠTA I VISOKIH ŠKOLA (IZ EVIDENCIJSKIH PRIHODA)</v>
      </c>
      <c r="I128" s="80" t="str">
        <f t="shared" si="86"/>
        <v>0942</v>
      </c>
      <c r="J128" s="117">
        <v>1532.3899999999999</v>
      </c>
      <c r="K128" s="117"/>
      <c r="L128" s="117">
        <v>775.93000000000006</v>
      </c>
      <c r="M128" s="84"/>
      <c r="O128" s="75" t="str">
        <f t="shared" si="98"/>
        <v>323</v>
      </c>
      <c r="P128" s="75" t="str">
        <f t="shared" si="99"/>
        <v>32</v>
      </c>
      <c r="Q128" s="75" t="str">
        <f t="shared" si="100"/>
        <v>51</v>
      </c>
      <c r="R128" s="75" t="str">
        <f t="shared" si="101"/>
        <v>94</v>
      </c>
      <c r="V128" s="75">
        <v>3692</v>
      </c>
      <c r="W128" s="75" t="s">
        <v>176</v>
      </c>
      <c r="Y128" s="290" t="str">
        <f t="shared" si="87"/>
        <v>36</v>
      </c>
      <c r="Z128" s="75" t="str">
        <f t="shared" si="88"/>
        <v>369</v>
      </c>
      <c r="AB128" t="s">
        <v>1864</v>
      </c>
      <c r="AC128" t="s">
        <v>1865</v>
      </c>
      <c r="AD128" s="75" t="s">
        <v>5160</v>
      </c>
      <c r="AE128" s="75" t="s">
        <v>5161</v>
      </c>
      <c r="AF128" s="75" t="s">
        <v>5168</v>
      </c>
      <c r="AG128" s="75" t="s">
        <v>5181</v>
      </c>
    </row>
    <row r="129" spans="1:33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51</v>
      </c>
      <c r="D129" s="80" t="str">
        <f t="shared" si="103"/>
        <v>Pomoći EU</v>
      </c>
      <c r="E129" s="85">
        <v>3235</v>
      </c>
      <c r="F129" s="80" t="str">
        <f t="shared" si="84"/>
        <v>Zakupnine i najamnine</v>
      </c>
      <c r="G129" s="118" t="s">
        <v>187</v>
      </c>
      <c r="H129" s="80" t="str">
        <f t="shared" si="85"/>
        <v>REDOVNA DJELATNOST VELEUČILIŠTA I VISOKIH ŠKOLA (IZ EVIDENCIJSKIH PRIHODA)</v>
      </c>
      <c r="I129" s="80" t="str">
        <f t="shared" si="86"/>
        <v>0942</v>
      </c>
      <c r="J129" s="117">
        <v>3781.52</v>
      </c>
      <c r="K129" s="117"/>
      <c r="L129" s="117">
        <v>4031.74</v>
      </c>
      <c r="M129" s="84"/>
      <c r="O129" s="75" t="str">
        <f t="shared" si="98"/>
        <v>323</v>
      </c>
      <c r="P129" s="75" t="str">
        <f t="shared" si="99"/>
        <v>32</v>
      </c>
      <c r="Q129" s="75" t="str">
        <f t="shared" si="100"/>
        <v>51</v>
      </c>
      <c r="R129" s="75" t="str">
        <f t="shared" si="101"/>
        <v>94</v>
      </c>
      <c r="V129" s="75">
        <v>3693</v>
      </c>
      <c r="W129" s="75" t="s">
        <v>104</v>
      </c>
      <c r="Y129" s="290" t="str">
        <f t="shared" si="87"/>
        <v>36</v>
      </c>
      <c r="Z129" s="75" t="str">
        <f t="shared" si="88"/>
        <v>369</v>
      </c>
      <c r="AB129" t="s">
        <v>1866</v>
      </c>
      <c r="AC129" t="s">
        <v>1867</v>
      </c>
      <c r="AD129" s="75" t="s">
        <v>5150</v>
      </c>
      <c r="AE129" s="75" t="s">
        <v>5151</v>
      </c>
      <c r="AF129" s="75" t="s">
        <v>5168</v>
      </c>
      <c r="AG129" s="75" t="s">
        <v>5176</v>
      </c>
    </row>
    <row r="130" spans="1:33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51</v>
      </c>
      <c r="D130" s="80" t="str">
        <f t="shared" si="103"/>
        <v>Pomoći EU</v>
      </c>
      <c r="E130" s="85">
        <v>3237</v>
      </c>
      <c r="F130" s="80" t="str">
        <f t="shared" si="84"/>
        <v>Intelektualne i osobne usluge</v>
      </c>
      <c r="G130" s="118" t="s">
        <v>187</v>
      </c>
      <c r="H130" s="80" t="str">
        <f t="shared" si="85"/>
        <v>REDOVNA DJELATNOST VELEUČILIŠTA I VISOKIH ŠKOLA (IZ EVIDENCIJSKIH PRIHODA)</v>
      </c>
      <c r="I130" s="80" t="str">
        <f t="shared" si="86"/>
        <v>0942</v>
      </c>
      <c r="J130" s="117">
        <v>7390</v>
      </c>
      <c r="K130" s="117"/>
      <c r="L130" s="117">
        <v>4840.74</v>
      </c>
      <c r="M130" s="84"/>
      <c r="O130" s="75" t="str">
        <f t="shared" si="98"/>
        <v>323</v>
      </c>
      <c r="P130" s="75" t="str">
        <f t="shared" si="99"/>
        <v>32</v>
      </c>
      <c r="Q130" s="75" t="str">
        <f t="shared" si="100"/>
        <v>51</v>
      </c>
      <c r="R130" s="75" t="str">
        <f t="shared" si="101"/>
        <v>94</v>
      </c>
      <c r="V130" s="75">
        <v>3694</v>
      </c>
      <c r="W130" s="75" t="s">
        <v>176</v>
      </c>
      <c r="Y130" s="290" t="str">
        <f t="shared" si="87"/>
        <v>36</v>
      </c>
      <c r="Z130" s="75" t="str">
        <f t="shared" si="88"/>
        <v>369</v>
      </c>
      <c r="AB130" t="s">
        <v>1868</v>
      </c>
      <c r="AC130" t="s">
        <v>1869</v>
      </c>
      <c r="AD130" s="75" t="s">
        <v>5150</v>
      </c>
      <c r="AE130" s="75" t="s">
        <v>5151</v>
      </c>
      <c r="AF130" s="75" t="s">
        <v>5168</v>
      </c>
      <c r="AG130" s="75" t="s">
        <v>5176</v>
      </c>
    </row>
    <row r="131" spans="1:33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51</v>
      </c>
      <c r="D131" s="80" t="str">
        <f t="shared" si="103"/>
        <v>Pomoći EU</v>
      </c>
      <c r="E131" s="85">
        <v>3239</v>
      </c>
      <c r="F131" s="80" t="str">
        <f t="shared" si="84"/>
        <v>Ostale usluge</v>
      </c>
      <c r="G131" s="118" t="s">
        <v>187</v>
      </c>
      <c r="H131" s="80" t="str">
        <f t="shared" si="85"/>
        <v>REDOVNA DJELATNOST VELEUČILIŠTA I VISOKIH ŠKOLA (IZ EVIDENCIJSKIH PRIHODA)</v>
      </c>
      <c r="I131" s="80" t="str">
        <f t="shared" si="86"/>
        <v>0942</v>
      </c>
      <c r="J131" s="117">
        <v>2651.12</v>
      </c>
      <c r="K131" s="117"/>
      <c r="L131" s="117">
        <v>92.03</v>
      </c>
      <c r="M131" s="84"/>
      <c r="O131" s="75" t="str">
        <f t="shared" si="98"/>
        <v>323</v>
      </c>
      <c r="P131" s="75" t="str">
        <f t="shared" si="99"/>
        <v>32</v>
      </c>
      <c r="Q131" s="75" t="str">
        <f t="shared" si="100"/>
        <v>51</v>
      </c>
      <c r="R131" s="75" t="str">
        <f t="shared" si="101"/>
        <v>94</v>
      </c>
      <c r="V131" s="75">
        <v>3711</v>
      </c>
      <c r="W131" s="75" t="s">
        <v>123</v>
      </c>
      <c r="Y131" s="290" t="str">
        <f t="shared" si="87"/>
        <v>37</v>
      </c>
      <c r="Z131" s="75" t="str">
        <f t="shared" si="88"/>
        <v>371</v>
      </c>
      <c r="AB131" t="s">
        <v>1870</v>
      </c>
      <c r="AC131" t="s">
        <v>1871</v>
      </c>
      <c r="AD131" s="75" t="s">
        <v>5150</v>
      </c>
      <c r="AE131" s="75" t="s">
        <v>5151</v>
      </c>
      <c r="AF131" s="75" t="s">
        <v>5168</v>
      </c>
      <c r="AG131" s="75" t="s">
        <v>5176</v>
      </c>
    </row>
    <row r="132" spans="1:33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51</v>
      </c>
      <c r="D132" s="80" t="str">
        <f t="shared" ref="D132:D137" si="104">IFERROR(VLOOKUP(C132,$S$7:$T$48,2,FALSE),"")</f>
        <v>Pomoći EU</v>
      </c>
      <c r="E132" s="85">
        <v>3241</v>
      </c>
      <c r="F132" s="80" t="str">
        <f t="shared" si="84"/>
        <v>Naknade troškova osobama izvan radnog odnosa</v>
      </c>
      <c r="G132" s="118" t="s">
        <v>187</v>
      </c>
      <c r="H132" s="80" t="str">
        <f t="shared" si="85"/>
        <v>REDOVNA DJELATNOST VELEUČILIŠTA I VISOKIH ŠKOLA (IZ EVIDENCIJSKIH PRIHODA)</v>
      </c>
      <c r="I132" s="80" t="str">
        <f t="shared" si="86"/>
        <v>0942</v>
      </c>
      <c r="J132" s="117">
        <v>815.65</v>
      </c>
      <c r="K132" s="117"/>
      <c r="L132" s="117"/>
      <c r="M132" s="84"/>
      <c r="O132" s="75" t="str">
        <f t="shared" si="98"/>
        <v>324</v>
      </c>
      <c r="P132" s="75" t="str">
        <f t="shared" si="99"/>
        <v>32</v>
      </c>
      <c r="Q132" s="75" t="str">
        <f t="shared" si="100"/>
        <v>51</v>
      </c>
      <c r="R132" s="75" t="str">
        <f t="shared" si="101"/>
        <v>94</v>
      </c>
      <c r="AB132"/>
      <c r="AC132"/>
    </row>
    <row r="133" spans="1:33">
      <c r="A133" s="79" t="str">
        <f>IF(C133="","",VLOOKUP('OPĆI DIO'!$C$3,'OPĆI DIO'!$L$6:$U$138,10,FALSE))</f>
        <v>08006</v>
      </c>
      <c r="B133" s="79" t="str">
        <f>IF(C133="","",VLOOKUP('OPĆI DIO'!$C$3,'OPĆI DIO'!$L$6:$U$138,9,FALSE))</f>
        <v>Sveučilišta i veleučilišta u Republici Hrvatskoj</v>
      </c>
      <c r="C133" s="85">
        <v>51</v>
      </c>
      <c r="D133" s="80" t="str">
        <f t="shared" si="104"/>
        <v>Pomoći EU</v>
      </c>
      <c r="E133" s="85">
        <v>3293</v>
      </c>
      <c r="F133" s="80" t="str">
        <f t="shared" ref="F133:F196" si="105">IFERROR(VLOOKUP(E133,$V$5:$X$203,2,FALSE),"")</f>
        <v>Reprezentacija</v>
      </c>
      <c r="G133" s="118" t="s">
        <v>187</v>
      </c>
      <c r="H133" s="80" t="str">
        <f t="shared" ref="H133:H196" si="106">IFERROR(VLOOKUP(G133,$AB$7:$AC$401,2,FALSE),"")</f>
        <v>REDOVNA DJELATNOST VELEUČILIŠTA I VISOKIH ŠKOLA (IZ EVIDENCIJSKIH PRIHODA)</v>
      </c>
      <c r="I133" s="80" t="str">
        <f t="shared" ref="I133:I196" si="107">IFERROR(VLOOKUP(G133,$AB$7:$AF$401,3,FALSE),"")</f>
        <v>0942</v>
      </c>
      <c r="J133" s="117">
        <v>104.98</v>
      </c>
      <c r="K133" s="117"/>
      <c r="L133" s="117"/>
      <c r="M133" s="84"/>
      <c r="O133" s="75" t="str">
        <f t="shared" si="98"/>
        <v>329</v>
      </c>
      <c r="P133" s="75" t="str">
        <f t="shared" si="99"/>
        <v>32</v>
      </c>
      <c r="Q133" s="75" t="str">
        <f t="shared" si="100"/>
        <v>51</v>
      </c>
      <c r="R133" s="75" t="str">
        <f t="shared" si="101"/>
        <v>94</v>
      </c>
      <c r="AB133"/>
      <c r="AC133"/>
    </row>
    <row r="134" spans="1:33">
      <c r="A134" s="79" t="str">
        <f>IF(C134="","",VLOOKUP('OPĆI DIO'!$C$3,'OPĆI DIO'!$L$6:$U$138,10,FALSE))</f>
        <v>08006</v>
      </c>
      <c r="B134" s="79" t="str">
        <f>IF(C134="","",VLOOKUP('OPĆI DIO'!$C$3,'OPĆI DIO'!$L$6:$U$138,9,FALSE))</f>
        <v>Sveučilišta i veleučilišta u Republici Hrvatskoj</v>
      </c>
      <c r="C134" s="85">
        <v>51</v>
      </c>
      <c r="D134" s="80" t="str">
        <f t="shared" si="104"/>
        <v>Pomoći EU</v>
      </c>
      <c r="E134" s="85">
        <v>3294</v>
      </c>
      <c r="F134" s="80" t="str">
        <f t="shared" si="105"/>
        <v>Članarine i norme</v>
      </c>
      <c r="G134" s="118" t="s">
        <v>187</v>
      </c>
      <c r="H134" s="80" t="str">
        <f t="shared" si="106"/>
        <v>REDOVNA DJELATNOST VELEUČILIŠTA I VISOKIH ŠKOLA (IZ EVIDENCIJSKIH PRIHODA)</v>
      </c>
      <c r="I134" s="80" t="str">
        <f t="shared" si="107"/>
        <v>0942</v>
      </c>
      <c r="J134" s="117">
        <v>254.83</v>
      </c>
      <c r="K134" s="117"/>
      <c r="L134" s="117"/>
      <c r="M134" s="84"/>
      <c r="O134" s="75" t="str">
        <f t="shared" si="98"/>
        <v>329</v>
      </c>
      <c r="P134" s="75" t="str">
        <f t="shared" si="99"/>
        <v>32</v>
      </c>
      <c r="Q134" s="75" t="str">
        <f t="shared" si="100"/>
        <v>51</v>
      </c>
      <c r="R134" s="75" t="str">
        <f t="shared" si="101"/>
        <v>94</v>
      </c>
      <c r="AB134"/>
      <c r="AC134"/>
    </row>
    <row r="135" spans="1:33">
      <c r="A135" s="79" t="str">
        <f>IF(C135="","",VLOOKUP('OPĆI DIO'!$C$3,'OPĆI DIO'!$L$6:$U$138,10,FALSE))</f>
        <v>08006</v>
      </c>
      <c r="B135" s="79" t="str">
        <f>IF(C135="","",VLOOKUP('OPĆI DIO'!$C$3,'OPĆI DIO'!$L$6:$U$138,9,FALSE))</f>
        <v>Sveučilišta i veleučilišta u Republici Hrvatskoj</v>
      </c>
      <c r="C135" s="85">
        <v>51</v>
      </c>
      <c r="D135" s="80" t="str">
        <f t="shared" si="104"/>
        <v>Pomoći EU</v>
      </c>
      <c r="E135" s="85">
        <v>3296</v>
      </c>
      <c r="F135" s="80" t="str">
        <f t="shared" si="105"/>
        <v>Troškovi sudskih postupaka</v>
      </c>
      <c r="G135" s="118" t="s">
        <v>187</v>
      </c>
      <c r="H135" s="80" t="str">
        <f t="shared" si="106"/>
        <v>REDOVNA DJELATNOST VELEUČILIŠTA I VISOKIH ŠKOLA (IZ EVIDENCIJSKIH PRIHODA)</v>
      </c>
      <c r="I135" s="80" t="str">
        <f t="shared" si="107"/>
        <v>0942</v>
      </c>
      <c r="J135" s="117">
        <v>11549.54</v>
      </c>
      <c r="K135" s="117"/>
      <c r="L135" s="117"/>
      <c r="M135" s="84"/>
      <c r="O135" s="75" t="str">
        <f t="shared" si="98"/>
        <v>329</v>
      </c>
      <c r="P135" s="75" t="str">
        <f t="shared" si="99"/>
        <v>32</v>
      </c>
      <c r="Q135" s="75" t="str">
        <f t="shared" si="100"/>
        <v>51</v>
      </c>
      <c r="R135" s="75" t="str">
        <f t="shared" si="101"/>
        <v>94</v>
      </c>
      <c r="AB135"/>
      <c r="AC135"/>
    </row>
    <row r="136" spans="1:33">
      <c r="A136" s="79" t="str">
        <f>IF(C136="","",VLOOKUP('OPĆI DIO'!$C$3,'OPĆI DIO'!$L$6:$U$138,10,FALSE))</f>
        <v>08006</v>
      </c>
      <c r="B136" s="79" t="str">
        <f>IF(C136="","",VLOOKUP('OPĆI DIO'!$C$3,'OPĆI DIO'!$L$6:$U$138,9,FALSE))</f>
        <v>Sveučilišta i veleučilišta u Republici Hrvatskoj</v>
      </c>
      <c r="C136" s="85">
        <v>51</v>
      </c>
      <c r="D136" s="80" t="str">
        <f t="shared" si="104"/>
        <v>Pomoći EU</v>
      </c>
      <c r="E136" s="85">
        <v>3433</v>
      </c>
      <c r="F136" s="80" t="str">
        <f t="shared" si="105"/>
        <v>Zatezne kamate</v>
      </c>
      <c r="G136" s="118" t="s">
        <v>187</v>
      </c>
      <c r="H136" s="80" t="str">
        <f t="shared" si="106"/>
        <v>REDOVNA DJELATNOST VELEUČILIŠTA I VISOKIH ŠKOLA (IZ EVIDENCIJSKIH PRIHODA)</v>
      </c>
      <c r="I136" s="80" t="str">
        <f t="shared" si="107"/>
        <v>0942</v>
      </c>
      <c r="J136" s="117">
        <v>4298.8499999999995</v>
      </c>
      <c r="K136" s="117"/>
      <c r="L136" s="117"/>
      <c r="M136" s="84"/>
      <c r="O136" s="75" t="str">
        <f t="shared" si="98"/>
        <v>343</v>
      </c>
      <c r="P136" s="75" t="str">
        <f t="shared" si="99"/>
        <v>34</v>
      </c>
      <c r="Q136" s="75" t="str">
        <f t="shared" si="100"/>
        <v>51</v>
      </c>
      <c r="R136" s="75" t="str">
        <f t="shared" si="101"/>
        <v>94</v>
      </c>
      <c r="AB136"/>
      <c r="AC136"/>
    </row>
    <row r="137" spans="1:33">
      <c r="A137" s="79" t="str">
        <f>IF(C137="","",VLOOKUP('OPĆI DIO'!$C$3,'OPĆI DIO'!$L$6:$U$138,10,FALSE))</f>
        <v>08006</v>
      </c>
      <c r="B137" s="79" t="str">
        <f>IF(C137="","",VLOOKUP('OPĆI DIO'!$C$3,'OPĆI DIO'!$L$6:$U$138,9,FALSE))</f>
        <v>Sveučilišta i veleučilišta u Republici Hrvatskoj</v>
      </c>
      <c r="C137" s="85">
        <v>51</v>
      </c>
      <c r="D137" s="80" t="str">
        <f t="shared" si="104"/>
        <v>Pomoći EU</v>
      </c>
      <c r="E137" s="85">
        <v>3721</v>
      </c>
      <c r="F137" s="80" t="str">
        <f t="shared" si="105"/>
        <v>Naknade građanima i kućanstvima u novcu</v>
      </c>
      <c r="G137" s="118" t="s">
        <v>187</v>
      </c>
      <c r="H137" s="80" t="str">
        <f t="shared" si="106"/>
        <v>REDOVNA DJELATNOST VELEUČILIŠTA I VISOKIH ŠKOLA (IZ EVIDENCIJSKIH PRIHODA)</v>
      </c>
      <c r="I137" s="80" t="str">
        <f t="shared" si="107"/>
        <v>0942</v>
      </c>
      <c r="J137" s="117">
        <v>4109.3</v>
      </c>
      <c r="K137" s="117"/>
      <c r="L137" s="117"/>
      <c r="M137" s="84"/>
      <c r="O137" s="75" t="str">
        <f t="shared" si="98"/>
        <v>372</v>
      </c>
      <c r="P137" s="75" t="str">
        <f t="shared" si="99"/>
        <v>37</v>
      </c>
      <c r="Q137" s="75" t="str">
        <f t="shared" si="100"/>
        <v>51</v>
      </c>
      <c r="R137" s="75" t="str">
        <f t="shared" si="101"/>
        <v>94</v>
      </c>
      <c r="AB137"/>
      <c r="AC137"/>
    </row>
    <row r="138" spans="1:33">
      <c r="A138" s="79" t="str">
        <f>IF(C138="","",VLOOKUP('OPĆI DIO'!$C$3,'OPĆI DIO'!$L$6:$U$138,10,FALSE))</f>
        <v>08006</v>
      </c>
      <c r="B138" s="79" t="str">
        <f>IF(C138="","",VLOOKUP('OPĆI DIO'!$C$3,'OPĆI DIO'!$L$6:$U$138,9,FALSE))</f>
        <v>Sveučilišta i veleučilišta u Republici Hrvatskoj</v>
      </c>
      <c r="C138" s="85">
        <v>61</v>
      </c>
      <c r="D138" s="80" t="str">
        <f t="shared" ref="D138:D202" si="108">IFERROR(VLOOKUP(C138,$S$7:$T$48,2,FALSE),"")</f>
        <v>Donacije</v>
      </c>
      <c r="E138" s="85">
        <v>3111</v>
      </c>
      <c r="F138" s="80" t="str">
        <f t="shared" si="105"/>
        <v>Plaće za redovan rad</v>
      </c>
      <c r="G138" s="118" t="s">
        <v>187</v>
      </c>
      <c r="H138" s="80" t="str">
        <f t="shared" si="106"/>
        <v>REDOVNA DJELATNOST VELEUČILIŠTA I VISOKIH ŠKOLA (IZ EVIDENCIJSKIH PRIHODA)</v>
      </c>
      <c r="I138" s="80" t="str">
        <f t="shared" si="107"/>
        <v>0942</v>
      </c>
      <c r="J138" s="117">
        <v>7152</v>
      </c>
      <c r="K138" s="117"/>
      <c r="L138" s="117">
        <v>2026.93</v>
      </c>
      <c r="M138" s="84"/>
      <c r="O138" s="75" t="str">
        <f t="shared" si="98"/>
        <v>311</v>
      </c>
      <c r="P138" s="75" t="str">
        <f t="shared" si="99"/>
        <v>31</v>
      </c>
      <c r="Q138" s="75" t="str">
        <f t="shared" si="100"/>
        <v>61</v>
      </c>
      <c r="R138" s="75" t="str">
        <f t="shared" si="101"/>
        <v>94</v>
      </c>
      <c r="V138" s="75">
        <v>3712</v>
      </c>
      <c r="W138" s="75" t="s">
        <v>141</v>
      </c>
      <c r="Y138" s="290" t="str">
        <f t="shared" si="87"/>
        <v>37</v>
      </c>
      <c r="Z138" s="75" t="str">
        <f t="shared" si="88"/>
        <v>371</v>
      </c>
      <c r="AB138" t="s">
        <v>1872</v>
      </c>
      <c r="AC138" t="s">
        <v>1873</v>
      </c>
      <c r="AD138" s="75" t="s">
        <v>5160</v>
      </c>
      <c r="AE138" s="75" t="s">
        <v>5161</v>
      </c>
      <c r="AF138" s="75" t="s">
        <v>5168</v>
      </c>
      <c r="AG138" s="75" t="s">
        <v>5181</v>
      </c>
    </row>
    <row r="139" spans="1:33">
      <c r="A139" s="79" t="str">
        <f>IF(C139="","",VLOOKUP('OPĆI DIO'!$C$3,'OPĆI DIO'!$L$6:$U$138,10,FALSE))</f>
        <v>08006</v>
      </c>
      <c r="B139" s="79" t="str">
        <f>IF(C139="","",VLOOKUP('OPĆI DIO'!$C$3,'OPĆI DIO'!$L$6:$U$138,9,FALSE))</f>
        <v>Sveučilišta i veleučilišta u Republici Hrvatskoj</v>
      </c>
      <c r="C139" s="85">
        <v>61</v>
      </c>
      <c r="D139" s="80" t="str">
        <f t="shared" si="108"/>
        <v>Donacije</v>
      </c>
      <c r="E139" s="85">
        <v>3121</v>
      </c>
      <c r="F139" s="80" t="str">
        <f t="shared" si="105"/>
        <v>Ostali rashodi za zaposlene</v>
      </c>
      <c r="G139" s="118" t="s">
        <v>187</v>
      </c>
      <c r="H139" s="80" t="str">
        <f t="shared" si="106"/>
        <v>REDOVNA DJELATNOST VELEUČILIŠTA I VISOKIH ŠKOLA (IZ EVIDENCIJSKIH PRIHODA)</v>
      </c>
      <c r="I139" s="80" t="str">
        <f t="shared" si="107"/>
        <v>0942</v>
      </c>
      <c r="J139" s="117">
        <v>3318</v>
      </c>
      <c r="K139" s="117"/>
      <c r="L139" s="117"/>
      <c r="M139" s="84"/>
      <c r="O139" s="75" t="str">
        <f t="shared" si="98"/>
        <v>312</v>
      </c>
      <c r="P139" s="75" t="str">
        <f t="shared" si="99"/>
        <v>31</v>
      </c>
      <c r="Q139" s="75" t="str">
        <f t="shared" si="100"/>
        <v>61</v>
      </c>
      <c r="R139" s="75" t="str">
        <f t="shared" si="101"/>
        <v>94</v>
      </c>
      <c r="AB139"/>
      <c r="AC139"/>
    </row>
    <row r="140" spans="1:33">
      <c r="A140" s="79" t="str">
        <f>IF(C140="","",VLOOKUP('OPĆI DIO'!$C$3,'OPĆI DIO'!$L$6:$U$138,10,FALSE))</f>
        <v>08006</v>
      </c>
      <c r="B140" s="79" t="str">
        <f>IF(C140="","",VLOOKUP('OPĆI DIO'!$C$3,'OPĆI DIO'!$L$6:$U$138,9,FALSE))</f>
        <v>Sveučilišta i veleučilišta u Republici Hrvatskoj</v>
      </c>
      <c r="C140" s="85">
        <v>61</v>
      </c>
      <c r="D140" s="80" t="str">
        <f t="shared" si="108"/>
        <v>Donacije</v>
      </c>
      <c r="E140" s="85">
        <v>3132</v>
      </c>
      <c r="F140" s="80" t="str">
        <f t="shared" si="105"/>
        <v>Doprinosi za obvezno zdravstveno osiguranje</v>
      </c>
      <c r="G140" s="118" t="s">
        <v>187</v>
      </c>
      <c r="H140" s="80" t="str">
        <f t="shared" si="106"/>
        <v>REDOVNA DJELATNOST VELEUČILIŠTA I VISOKIH ŠKOLA (IZ EVIDENCIJSKIH PRIHODA)</v>
      </c>
      <c r="I140" s="80" t="str">
        <f t="shared" si="107"/>
        <v>0942</v>
      </c>
      <c r="J140" s="117">
        <v>1201</v>
      </c>
      <c r="K140" s="117"/>
      <c r="L140" s="117">
        <v>425.69</v>
      </c>
      <c r="M140" s="84"/>
      <c r="O140" s="75" t="str">
        <f t="shared" si="98"/>
        <v>313</v>
      </c>
      <c r="P140" s="75" t="str">
        <f t="shared" si="99"/>
        <v>31</v>
      </c>
      <c r="Q140" s="75" t="str">
        <f t="shared" si="100"/>
        <v>61</v>
      </c>
      <c r="R140" s="75" t="str">
        <f t="shared" si="101"/>
        <v>94</v>
      </c>
      <c r="V140" s="75">
        <v>3713</v>
      </c>
      <c r="W140" s="75" t="s">
        <v>168</v>
      </c>
      <c r="Y140" s="290" t="str">
        <f t="shared" si="87"/>
        <v>37</v>
      </c>
      <c r="Z140" s="75" t="str">
        <f t="shared" si="88"/>
        <v>371</v>
      </c>
      <c r="AB140" t="s">
        <v>1875</v>
      </c>
      <c r="AC140" t="s">
        <v>1876</v>
      </c>
      <c r="AD140" s="75" t="s">
        <v>5150</v>
      </c>
      <c r="AE140" s="75" t="s">
        <v>5151</v>
      </c>
      <c r="AF140" s="75" t="s">
        <v>5168</v>
      </c>
      <c r="AG140" s="75" t="s">
        <v>5176</v>
      </c>
    </row>
    <row r="141" spans="1:33">
      <c r="A141" s="79" t="str">
        <f>IF(C141="","",VLOOKUP('OPĆI DIO'!$C$3,'OPĆI DIO'!$L$6:$U$138,10,FALSE))</f>
        <v>08006</v>
      </c>
      <c r="B141" s="79" t="str">
        <f>IF(C141="","",VLOOKUP('OPĆI DIO'!$C$3,'OPĆI DIO'!$L$6:$U$138,9,FALSE))</f>
        <v>Sveučilišta i veleučilišta u Republici Hrvatskoj</v>
      </c>
      <c r="C141" s="85">
        <v>61</v>
      </c>
      <c r="D141" s="80" t="str">
        <f t="shared" si="108"/>
        <v>Donacije</v>
      </c>
      <c r="E141" s="85">
        <v>3211</v>
      </c>
      <c r="F141" s="80" t="str">
        <f t="shared" si="105"/>
        <v>Službena putovanja</v>
      </c>
      <c r="G141" s="118" t="s">
        <v>187</v>
      </c>
      <c r="H141" s="80" t="str">
        <f t="shared" si="106"/>
        <v>REDOVNA DJELATNOST VELEUČILIŠTA I VISOKIH ŠKOLA (IZ EVIDENCIJSKIH PRIHODA)</v>
      </c>
      <c r="I141" s="80" t="str">
        <f t="shared" si="107"/>
        <v>0942</v>
      </c>
      <c r="J141" s="117">
        <v>2655</v>
      </c>
      <c r="K141" s="117"/>
      <c r="L141" s="117">
        <v>446.96999999999997</v>
      </c>
      <c r="M141" s="84"/>
      <c r="O141" s="75" t="str">
        <f t="shared" si="98"/>
        <v>321</v>
      </c>
      <c r="P141" s="75" t="str">
        <f t="shared" si="99"/>
        <v>32</v>
      </c>
      <c r="Q141" s="75" t="str">
        <f t="shared" si="100"/>
        <v>61</v>
      </c>
      <c r="R141" s="75" t="str">
        <f t="shared" si="101"/>
        <v>94</v>
      </c>
      <c r="V141" s="75">
        <v>3714</v>
      </c>
      <c r="W141" s="75" t="s">
        <v>189</v>
      </c>
      <c r="Y141" s="290" t="str">
        <f t="shared" si="87"/>
        <v>37</v>
      </c>
      <c r="Z141" s="75" t="str">
        <f t="shared" si="88"/>
        <v>371</v>
      </c>
      <c r="AB141" t="s">
        <v>1877</v>
      </c>
      <c r="AC141" t="s">
        <v>1878</v>
      </c>
      <c r="AD141" s="75" t="s">
        <v>5144</v>
      </c>
      <c r="AE141" s="75" t="s">
        <v>5145</v>
      </c>
      <c r="AF141" s="75" t="s">
        <v>5170</v>
      </c>
      <c r="AG141" s="75" t="s">
        <v>5171</v>
      </c>
    </row>
    <row r="142" spans="1:33">
      <c r="A142" s="79" t="str">
        <f>IF(C142="","",VLOOKUP('OPĆI DIO'!$C$3,'OPĆI DIO'!$L$6:$U$138,10,FALSE))</f>
        <v>08006</v>
      </c>
      <c r="B142" s="79" t="str">
        <f>IF(C142="","",VLOOKUP('OPĆI DIO'!$C$3,'OPĆI DIO'!$L$6:$U$138,9,FALSE))</f>
        <v>Sveučilišta i veleučilišta u Republici Hrvatskoj</v>
      </c>
      <c r="C142" s="85">
        <v>61</v>
      </c>
      <c r="D142" s="80" t="str">
        <f t="shared" si="108"/>
        <v>Donacije</v>
      </c>
      <c r="E142" s="85">
        <v>3212</v>
      </c>
      <c r="F142" s="80" t="str">
        <f t="shared" si="105"/>
        <v>Naknade za prijevoz, za rad na terenu i odvojeni život</v>
      </c>
      <c r="G142" s="118" t="s">
        <v>187</v>
      </c>
      <c r="H142" s="80" t="str">
        <f t="shared" si="106"/>
        <v>REDOVNA DJELATNOST VELEUČILIŠTA I VISOKIH ŠKOLA (IZ EVIDENCIJSKIH PRIHODA)</v>
      </c>
      <c r="I142" s="80" t="str">
        <f t="shared" si="107"/>
        <v>0942</v>
      </c>
      <c r="J142" s="117">
        <v>411</v>
      </c>
      <c r="K142" s="117"/>
      <c r="L142" s="117">
        <v>171</v>
      </c>
      <c r="M142" s="84"/>
      <c r="O142" s="75" t="str">
        <f t="shared" si="98"/>
        <v>321</v>
      </c>
      <c r="P142" s="75" t="str">
        <f t="shared" si="99"/>
        <v>32</v>
      </c>
      <c r="Q142" s="75" t="str">
        <f t="shared" si="100"/>
        <v>61</v>
      </c>
      <c r="R142" s="75" t="str">
        <f t="shared" si="101"/>
        <v>94</v>
      </c>
      <c r="V142" s="75">
        <v>3715</v>
      </c>
      <c r="W142" s="75" t="s">
        <v>127</v>
      </c>
      <c r="Y142" s="290" t="str">
        <f t="shared" si="87"/>
        <v>37</v>
      </c>
      <c r="Z142" s="75" t="str">
        <f t="shared" si="88"/>
        <v>371</v>
      </c>
      <c r="AB142" t="s">
        <v>1879</v>
      </c>
      <c r="AC142" t="s">
        <v>1880</v>
      </c>
      <c r="AD142" s="75" t="s">
        <v>5144</v>
      </c>
      <c r="AE142" s="75" t="s">
        <v>5145</v>
      </c>
      <c r="AF142" s="75" t="s">
        <v>5170</v>
      </c>
      <c r="AG142" s="75" t="s">
        <v>5171</v>
      </c>
    </row>
    <row r="143" spans="1:33">
      <c r="A143" s="79" t="str">
        <f>IF(C143="","",VLOOKUP('OPĆI DIO'!$C$3,'OPĆI DIO'!$L$6:$U$138,10,FALSE))</f>
        <v>08006</v>
      </c>
      <c r="B143" s="79" t="str">
        <f>IF(C143="","",VLOOKUP('OPĆI DIO'!$C$3,'OPĆI DIO'!$L$6:$U$138,9,FALSE))</f>
        <v>Sveučilišta i veleučilišta u Republici Hrvatskoj</v>
      </c>
      <c r="C143" s="85">
        <v>61</v>
      </c>
      <c r="D143" s="80" t="str">
        <f t="shared" si="108"/>
        <v>Donacije</v>
      </c>
      <c r="E143" s="85">
        <v>3213</v>
      </c>
      <c r="F143" s="80" t="str">
        <f t="shared" si="105"/>
        <v>Stručno usavršavanje zaposlenika</v>
      </c>
      <c r="G143" s="118" t="s">
        <v>187</v>
      </c>
      <c r="H143" s="80" t="str">
        <f t="shared" si="106"/>
        <v>REDOVNA DJELATNOST VELEUČILIŠTA I VISOKIH ŠKOLA (IZ EVIDENCIJSKIH PRIHODA)</v>
      </c>
      <c r="I143" s="80" t="str">
        <f t="shared" si="107"/>
        <v>0942</v>
      </c>
      <c r="J143" s="117">
        <v>565</v>
      </c>
      <c r="K143" s="117"/>
      <c r="L143" s="117">
        <v>1651.4</v>
      </c>
      <c r="M143" s="84"/>
      <c r="O143" s="75" t="str">
        <f t="shared" si="98"/>
        <v>321</v>
      </c>
      <c r="P143" s="75" t="str">
        <f t="shared" si="99"/>
        <v>32</v>
      </c>
      <c r="Q143" s="75" t="str">
        <f t="shared" si="100"/>
        <v>61</v>
      </c>
      <c r="R143" s="75" t="str">
        <f t="shared" si="101"/>
        <v>94</v>
      </c>
      <c r="V143" s="75">
        <v>3721</v>
      </c>
      <c r="W143" s="75" t="s">
        <v>65</v>
      </c>
      <c r="Y143" s="290" t="str">
        <f t="shared" si="87"/>
        <v>37</v>
      </c>
      <c r="Z143" s="75" t="str">
        <f t="shared" si="88"/>
        <v>372</v>
      </c>
      <c r="AB143" t="s">
        <v>1881</v>
      </c>
      <c r="AC143" t="s">
        <v>1882</v>
      </c>
      <c r="AD143" s="75" t="s">
        <v>5144</v>
      </c>
      <c r="AE143" s="75" t="s">
        <v>5145</v>
      </c>
      <c r="AF143" s="75" t="s">
        <v>5170</v>
      </c>
      <c r="AG143" s="75" t="s">
        <v>5171</v>
      </c>
    </row>
    <row r="144" spans="1:33">
      <c r="A144" s="79" t="str">
        <f>IF(C144="","",VLOOKUP('OPĆI DIO'!$C$3,'OPĆI DIO'!$L$6:$U$138,10,FALSE))</f>
        <v>08006</v>
      </c>
      <c r="B144" s="79" t="str">
        <f>IF(C144="","",VLOOKUP('OPĆI DIO'!$C$3,'OPĆI DIO'!$L$6:$U$138,9,FALSE))</f>
        <v>Sveučilišta i veleučilišta u Republici Hrvatskoj</v>
      </c>
      <c r="C144" s="85">
        <v>61</v>
      </c>
      <c r="D144" s="80" t="str">
        <f t="shared" si="108"/>
        <v>Donacije</v>
      </c>
      <c r="E144" s="85">
        <v>3214</v>
      </c>
      <c r="F144" s="80" t="str">
        <f t="shared" si="105"/>
        <v>Ostale naknade troškova zaposlenima</v>
      </c>
      <c r="G144" s="118" t="s">
        <v>187</v>
      </c>
      <c r="H144" s="80" t="str">
        <f t="shared" si="106"/>
        <v>REDOVNA DJELATNOST VELEUČILIŠTA I VISOKIH ŠKOLA (IZ EVIDENCIJSKIH PRIHODA)</v>
      </c>
      <c r="I144" s="80" t="str">
        <f t="shared" si="107"/>
        <v>0942</v>
      </c>
      <c r="J144" s="117"/>
      <c r="K144" s="117"/>
      <c r="L144" s="117">
        <v>1786.73</v>
      </c>
      <c r="M144" s="84"/>
      <c r="O144" s="75" t="str">
        <f t="shared" si="98"/>
        <v>321</v>
      </c>
      <c r="P144" s="75" t="str">
        <f t="shared" si="99"/>
        <v>32</v>
      </c>
      <c r="Q144" s="75" t="str">
        <f t="shared" si="100"/>
        <v>61</v>
      </c>
      <c r="R144" s="75" t="str">
        <f t="shared" si="101"/>
        <v>94</v>
      </c>
      <c r="V144" s="75">
        <v>3722</v>
      </c>
      <c r="W144" s="75" t="s">
        <v>150</v>
      </c>
      <c r="Y144" s="290" t="str">
        <f t="shared" si="87"/>
        <v>37</v>
      </c>
      <c r="Z144" s="75" t="str">
        <f t="shared" si="88"/>
        <v>372</v>
      </c>
      <c r="AB144" t="s">
        <v>1883</v>
      </c>
      <c r="AC144" t="s">
        <v>1884</v>
      </c>
      <c r="AD144" s="75" t="s">
        <v>5144</v>
      </c>
      <c r="AE144" s="75" t="s">
        <v>5145</v>
      </c>
      <c r="AF144" s="75" t="s">
        <v>5170</v>
      </c>
      <c r="AG144" s="75" t="s">
        <v>5171</v>
      </c>
    </row>
    <row r="145" spans="1:33">
      <c r="A145" s="79" t="str">
        <f>IF(C145="","",VLOOKUP('OPĆI DIO'!$C$3,'OPĆI DIO'!$L$6:$U$138,10,FALSE))</f>
        <v>08006</v>
      </c>
      <c r="B145" s="79" t="str">
        <f>IF(C145="","",VLOOKUP('OPĆI DIO'!$C$3,'OPĆI DIO'!$L$6:$U$138,9,FALSE))</f>
        <v>Sveučilišta i veleučilišta u Republici Hrvatskoj</v>
      </c>
      <c r="C145" s="85">
        <v>61</v>
      </c>
      <c r="D145" s="80" t="str">
        <f t="shared" si="108"/>
        <v>Donacije</v>
      </c>
      <c r="E145" s="85">
        <v>3221</v>
      </c>
      <c r="F145" s="80" t="str">
        <f t="shared" si="105"/>
        <v>Uredski materijal i ostali materijalni rashodi</v>
      </c>
      <c r="G145" s="118" t="s">
        <v>187</v>
      </c>
      <c r="H145" s="80" t="str">
        <f t="shared" si="106"/>
        <v>REDOVNA DJELATNOST VELEUČILIŠTA I VISOKIH ŠKOLA (IZ EVIDENCIJSKIH PRIHODA)</v>
      </c>
      <c r="I145" s="80" t="str">
        <f t="shared" si="107"/>
        <v>0942</v>
      </c>
      <c r="J145" s="117">
        <v>1543</v>
      </c>
      <c r="K145" s="117"/>
      <c r="L145" s="117">
        <v>7128.35</v>
      </c>
      <c r="M145" s="84"/>
      <c r="O145" s="75" t="str">
        <f t="shared" si="98"/>
        <v>322</v>
      </c>
      <c r="P145" s="75" t="str">
        <f t="shared" si="99"/>
        <v>32</v>
      </c>
      <c r="Q145" s="75" t="str">
        <f t="shared" si="100"/>
        <v>61</v>
      </c>
      <c r="R145" s="75" t="str">
        <f t="shared" si="101"/>
        <v>94</v>
      </c>
      <c r="V145" s="75">
        <v>3723</v>
      </c>
      <c r="W145" s="75" t="s">
        <v>105</v>
      </c>
      <c r="Y145" s="290" t="str">
        <f t="shared" si="87"/>
        <v>37</v>
      </c>
      <c r="Z145" s="75" t="str">
        <f t="shared" si="88"/>
        <v>372</v>
      </c>
      <c r="AB145" t="s">
        <v>1885</v>
      </c>
      <c r="AC145" t="s">
        <v>1886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>08006</v>
      </c>
      <c r="B146" s="79" t="str">
        <f>IF(C146="","",VLOOKUP('OPĆI DIO'!$C$3,'OPĆI DIO'!$L$6:$U$138,9,FALSE))</f>
        <v>Sveučilišta i veleučilišta u Republici Hrvatskoj</v>
      </c>
      <c r="C146" s="85">
        <v>61</v>
      </c>
      <c r="D146" s="80" t="str">
        <f t="shared" si="108"/>
        <v>Donacije</v>
      </c>
      <c r="E146" s="85">
        <v>3223</v>
      </c>
      <c r="F146" s="80" t="str">
        <f t="shared" si="105"/>
        <v>Energija</v>
      </c>
      <c r="G146" s="118" t="s">
        <v>187</v>
      </c>
      <c r="H146" s="80" t="str">
        <f t="shared" si="106"/>
        <v>REDOVNA DJELATNOST VELEUČILIŠTA I VISOKIH ŠKOLA (IZ EVIDENCIJSKIH PRIHODA)</v>
      </c>
      <c r="I146" s="80" t="str">
        <f t="shared" si="107"/>
        <v>0942</v>
      </c>
      <c r="J146" s="117"/>
      <c r="K146" s="117"/>
      <c r="L146" s="117">
        <v>7779.32</v>
      </c>
      <c r="M146" s="84"/>
      <c r="O146" s="75" t="str">
        <f t="shared" si="98"/>
        <v>322</v>
      </c>
      <c r="P146" s="75" t="str">
        <f t="shared" si="99"/>
        <v>32</v>
      </c>
      <c r="Q146" s="75" t="str">
        <f t="shared" si="100"/>
        <v>61</v>
      </c>
      <c r="R146" s="75" t="str">
        <f t="shared" si="101"/>
        <v>94</v>
      </c>
      <c r="V146" s="75">
        <v>3811</v>
      </c>
      <c r="W146" s="75" t="s">
        <v>55</v>
      </c>
      <c r="Y146" s="290" t="str">
        <f t="shared" si="87"/>
        <v>38</v>
      </c>
      <c r="Z146" s="75" t="str">
        <f t="shared" si="88"/>
        <v>381</v>
      </c>
      <c r="AB146" t="s">
        <v>1887</v>
      </c>
      <c r="AC146" t="s">
        <v>1888</v>
      </c>
      <c r="AD146" s="75" t="s">
        <v>5144</v>
      </c>
      <c r="AE146" s="75" t="s">
        <v>5145</v>
      </c>
      <c r="AF146" s="75" t="s">
        <v>5170</v>
      </c>
      <c r="AG146" s="75" t="s">
        <v>5171</v>
      </c>
    </row>
    <row r="147" spans="1:33">
      <c r="A147" s="79" t="str">
        <f>IF(C147="","",VLOOKUP('OPĆI DIO'!$C$3,'OPĆI DIO'!$L$6:$U$138,10,FALSE))</f>
        <v>08006</v>
      </c>
      <c r="B147" s="79" t="str">
        <f>IF(C147="","",VLOOKUP('OPĆI DIO'!$C$3,'OPĆI DIO'!$L$6:$U$138,9,FALSE))</f>
        <v>Sveučilišta i veleučilišta u Republici Hrvatskoj</v>
      </c>
      <c r="C147" s="85">
        <v>61</v>
      </c>
      <c r="D147" s="80" t="str">
        <f t="shared" si="108"/>
        <v>Donacije</v>
      </c>
      <c r="E147" s="85">
        <v>3224</v>
      </c>
      <c r="F147" s="80" t="str">
        <f t="shared" si="105"/>
        <v>Materijal i dijelovi za tekuće i investicijsko održavanje</v>
      </c>
      <c r="G147" s="118" t="s">
        <v>187</v>
      </c>
      <c r="H147" s="80" t="str">
        <f t="shared" si="106"/>
        <v>REDOVNA DJELATNOST VELEUČILIŠTA I VISOKIH ŠKOLA (IZ EVIDENCIJSKIH PRIHODA)</v>
      </c>
      <c r="I147" s="80" t="str">
        <f t="shared" si="107"/>
        <v>0942</v>
      </c>
      <c r="J147" s="117"/>
      <c r="K147" s="117"/>
      <c r="L147" s="117">
        <v>308.32</v>
      </c>
      <c r="M147" s="84"/>
      <c r="O147" s="75" t="str">
        <f t="shared" si="98"/>
        <v>322</v>
      </c>
      <c r="P147" s="75" t="str">
        <f t="shared" si="99"/>
        <v>32</v>
      </c>
      <c r="Q147" s="75" t="str">
        <f t="shared" si="100"/>
        <v>61</v>
      </c>
      <c r="R147" s="75" t="str">
        <f t="shared" si="101"/>
        <v>94</v>
      </c>
      <c r="V147" s="75">
        <v>3812</v>
      </c>
      <c r="W147" s="75" t="s">
        <v>151</v>
      </c>
      <c r="Y147" s="290" t="str">
        <f t="shared" si="87"/>
        <v>38</v>
      </c>
      <c r="Z147" s="75" t="str">
        <f t="shared" si="88"/>
        <v>381</v>
      </c>
      <c r="AB147" t="s">
        <v>957</v>
      </c>
      <c r="AC147" t="s">
        <v>958</v>
      </c>
      <c r="AD147" s="75" t="s">
        <v>5144</v>
      </c>
      <c r="AE147" s="75" t="s">
        <v>5145</v>
      </c>
      <c r="AF147" s="75" t="s">
        <v>5170</v>
      </c>
      <c r="AG147" s="75" t="s">
        <v>5171</v>
      </c>
    </row>
    <row r="148" spans="1:33">
      <c r="A148" s="79" t="str">
        <f>IF(C148="","",VLOOKUP('OPĆI DIO'!$C$3,'OPĆI DIO'!$L$6:$U$138,10,FALSE))</f>
        <v>08006</v>
      </c>
      <c r="B148" s="79" t="str">
        <f>IF(C148="","",VLOOKUP('OPĆI DIO'!$C$3,'OPĆI DIO'!$L$6:$U$138,9,FALSE))</f>
        <v>Sveučilišta i veleučilišta u Republici Hrvatskoj</v>
      </c>
      <c r="C148" s="85">
        <v>61</v>
      </c>
      <c r="D148" s="80" t="str">
        <f t="shared" si="108"/>
        <v>Donacije</v>
      </c>
      <c r="E148" s="85">
        <v>3231</v>
      </c>
      <c r="F148" s="80" t="str">
        <f t="shared" si="105"/>
        <v>Usluge telefona, pošte i prijevoza</v>
      </c>
      <c r="G148" s="118" t="s">
        <v>187</v>
      </c>
      <c r="H148" s="80" t="str">
        <f t="shared" si="106"/>
        <v>REDOVNA DJELATNOST VELEUČILIŠTA I VISOKIH ŠKOLA (IZ EVIDENCIJSKIH PRIHODA)</v>
      </c>
      <c r="I148" s="80" t="str">
        <f t="shared" si="107"/>
        <v>0942</v>
      </c>
      <c r="J148" s="117"/>
      <c r="K148" s="117"/>
      <c r="L148" s="117">
        <v>2283.86</v>
      </c>
      <c r="M148" s="84"/>
      <c r="O148" s="75" t="str">
        <f t="shared" si="98"/>
        <v>323</v>
      </c>
      <c r="P148" s="75" t="str">
        <f t="shared" si="99"/>
        <v>32</v>
      </c>
      <c r="Q148" s="75" t="str">
        <f t="shared" si="100"/>
        <v>61</v>
      </c>
      <c r="R148" s="75" t="str">
        <f t="shared" si="101"/>
        <v>94</v>
      </c>
      <c r="V148" s="75">
        <v>3813</v>
      </c>
      <c r="W148" s="75" t="s">
        <v>94</v>
      </c>
      <c r="Y148" s="290" t="str">
        <f t="shared" ref="Y148:Y154" si="109">LEFT(V148,2)</f>
        <v>38</v>
      </c>
      <c r="Z148" s="75" t="str">
        <f t="shared" ref="Z148:Z154" si="110">LEFT(V148,3)</f>
        <v>381</v>
      </c>
      <c r="AB148" t="s">
        <v>1889</v>
      </c>
      <c r="AC148" t="s">
        <v>1890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>08006</v>
      </c>
      <c r="B149" s="79" t="str">
        <f>IF(C149="","",VLOOKUP('OPĆI DIO'!$C$3,'OPĆI DIO'!$L$6:$U$138,9,FALSE))</f>
        <v>Sveučilišta i veleučilišta u Republici Hrvatskoj</v>
      </c>
      <c r="C149" s="85">
        <v>61</v>
      </c>
      <c r="D149" s="80" t="str">
        <f t="shared" si="108"/>
        <v>Donacije</v>
      </c>
      <c r="E149" s="85">
        <v>3232</v>
      </c>
      <c r="F149" s="80" t="str">
        <f t="shared" si="105"/>
        <v>Usluge tekućeg i investicijskog održavanja</v>
      </c>
      <c r="G149" s="118" t="s">
        <v>187</v>
      </c>
      <c r="H149" s="80" t="str">
        <f t="shared" si="106"/>
        <v>REDOVNA DJELATNOST VELEUČILIŠTA I VISOKIH ŠKOLA (IZ EVIDENCIJSKIH PRIHODA)</v>
      </c>
      <c r="I149" s="80" t="str">
        <f t="shared" si="107"/>
        <v>0942</v>
      </c>
      <c r="J149" s="117"/>
      <c r="K149" s="117"/>
      <c r="L149" s="117">
        <v>515.22</v>
      </c>
      <c r="M149" s="84"/>
      <c r="O149" s="75" t="str">
        <f t="shared" si="98"/>
        <v>323</v>
      </c>
      <c r="P149" s="75" t="str">
        <f t="shared" si="99"/>
        <v>32</v>
      </c>
      <c r="Q149" s="75" t="str">
        <f t="shared" si="100"/>
        <v>61</v>
      </c>
      <c r="R149" s="75" t="str">
        <f t="shared" si="101"/>
        <v>94</v>
      </c>
      <c r="V149" s="75">
        <v>3821</v>
      </c>
      <c r="W149" s="75" t="s">
        <v>169</v>
      </c>
      <c r="Y149" s="290" t="str">
        <f t="shared" si="109"/>
        <v>38</v>
      </c>
      <c r="Z149" s="75" t="str">
        <f t="shared" si="110"/>
        <v>382</v>
      </c>
      <c r="AB149" t="s">
        <v>3466</v>
      </c>
      <c r="AC149" t="s">
        <v>3467</v>
      </c>
      <c r="AD149" s="75" t="s">
        <v>5146</v>
      </c>
      <c r="AE149" s="75" t="s">
        <v>5147</v>
      </c>
      <c r="AF149" s="75" t="s">
        <v>5168</v>
      </c>
      <c r="AG149" s="75" t="s">
        <v>5178</v>
      </c>
    </row>
    <row r="150" spans="1:33">
      <c r="A150" s="79" t="str">
        <f>IF(C150="","",VLOOKUP('OPĆI DIO'!$C$3,'OPĆI DIO'!$L$6:$U$138,10,FALSE))</f>
        <v>08006</v>
      </c>
      <c r="B150" s="79" t="str">
        <f>IF(C150="","",VLOOKUP('OPĆI DIO'!$C$3,'OPĆI DIO'!$L$6:$U$138,9,FALSE))</f>
        <v>Sveučilišta i veleučilišta u Republici Hrvatskoj</v>
      </c>
      <c r="C150" s="85">
        <v>61</v>
      </c>
      <c r="D150" s="80" t="str">
        <f t="shared" si="108"/>
        <v>Donacije</v>
      </c>
      <c r="E150" s="85">
        <v>3233</v>
      </c>
      <c r="F150" s="80" t="str">
        <f t="shared" si="105"/>
        <v>Usluge promidžbe i informiranja</v>
      </c>
      <c r="G150" s="118" t="s">
        <v>187</v>
      </c>
      <c r="H150" s="80" t="str">
        <f t="shared" si="106"/>
        <v>REDOVNA DJELATNOST VELEUČILIŠTA I VISOKIH ŠKOLA (IZ EVIDENCIJSKIH PRIHODA)</v>
      </c>
      <c r="I150" s="80" t="str">
        <f t="shared" si="107"/>
        <v>0942</v>
      </c>
      <c r="J150" s="117">
        <v>2871</v>
      </c>
      <c r="K150" s="117"/>
      <c r="L150" s="117">
        <v>3953.4299999999994</v>
      </c>
      <c r="M150" s="84"/>
      <c r="O150" s="75" t="str">
        <f t="shared" si="98"/>
        <v>323</v>
      </c>
      <c r="P150" s="75" t="str">
        <f t="shared" si="99"/>
        <v>32</v>
      </c>
      <c r="Q150" s="75" t="str">
        <f t="shared" si="100"/>
        <v>61</v>
      </c>
      <c r="R150" s="75" t="str">
        <f t="shared" si="101"/>
        <v>94</v>
      </c>
      <c r="V150" s="75">
        <v>3831</v>
      </c>
      <c r="W150" s="75" t="s">
        <v>152</v>
      </c>
      <c r="Y150" s="290" t="str">
        <f t="shared" si="109"/>
        <v>38</v>
      </c>
      <c r="Z150" s="75" t="str">
        <f t="shared" si="110"/>
        <v>383</v>
      </c>
      <c r="AB150" t="s">
        <v>1891</v>
      </c>
      <c r="AC150" t="s">
        <v>1892</v>
      </c>
      <c r="AD150" s="75" t="s">
        <v>5144</v>
      </c>
      <c r="AE150" s="75" t="s">
        <v>5145</v>
      </c>
      <c r="AF150" s="75" t="s">
        <v>5170</v>
      </c>
      <c r="AG150" s="75" t="s">
        <v>5171</v>
      </c>
    </row>
    <row r="151" spans="1:33">
      <c r="A151" s="79" t="str">
        <f>IF(C151="","",VLOOKUP('OPĆI DIO'!$C$3,'OPĆI DIO'!$L$6:$U$138,10,FALSE))</f>
        <v>08006</v>
      </c>
      <c r="B151" s="79" t="str">
        <f>IF(C151="","",VLOOKUP('OPĆI DIO'!$C$3,'OPĆI DIO'!$L$6:$U$138,9,FALSE))</f>
        <v>Sveučilišta i veleučilišta u Republici Hrvatskoj</v>
      </c>
      <c r="C151" s="85">
        <v>61</v>
      </c>
      <c r="D151" s="80" t="str">
        <f t="shared" si="108"/>
        <v>Donacije</v>
      </c>
      <c r="E151" s="85">
        <v>3234</v>
      </c>
      <c r="F151" s="80" t="str">
        <f t="shared" si="105"/>
        <v>Komunalne usluge</v>
      </c>
      <c r="G151" s="118" t="s">
        <v>187</v>
      </c>
      <c r="H151" s="80" t="str">
        <f t="shared" si="106"/>
        <v>REDOVNA DJELATNOST VELEUČILIŠTA I VISOKIH ŠKOLA (IZ EVIDENCIJSKIH PRIHODA)</v>
      </c>
      <c r="I151" s="80" t="str">
        <f t="shared" si="107"/>
        <v>0942</v>
      </c>
      <c r="J151" s="117"/>
      <c r="K151" s="117"/>
      <c r="L151" s="117">
        <v>1853.1399999999999</v>
      </c>
      <c r="M151" s="84"/>
      <c r="O151" s="75" t="str">
        <f t="shared" si="98"/>
        <v>323</v>
      </c>
      <c r="P151" s="75" t="str">
        <f t="shared" si="99"/>
        <v>32</v>
      </c>
      <c r="Q151" s="75" t="str">
        <f t="shared" si="100"/>
        <v>61</v>
      </c>
      <c r="R151" s="75" t="str">
        <f t="shared" si="101"/>
        <v>94</v>
      </c>
      <c r="V151" s="75">
        <v>3832</v>
      </c>
      <c r="W151" s="75" t="s">
        <v>192</v>
      </c>
      <c r="Y151" s="290" t="str">
        <f t="shared" si="109"/>
        <v>38</v>
      </c>
      <c r="Z151" s="75" t="str">
        <f t="shared" si="110"/>
        <v>383</v>
      </c>
      <c r="AB151" t="s">
        <v>1893</v>
      </c>
      <c r="AC151" t="s">
        <v>1894</v>
      </c>
      <c r="AD151" s="75" t="s">
        <v>5146</v>
      </c>
      <c r="AE151" s="75" t="s">
        <v>5147</v>
      </c>
      <c r="AF151" s="75" t="s">
        <v>5168</v>
      </c>
      <c r="AG151" s="75" t="s">
        <v>5178</v>
      </c>
    </row>
    <row r="152" spans="1:33">
      <c r="A152" s="79" t="str">
        <f>IF(C152="","",VLOOKUP('OPĆI DIO'!$C$3,'OPĆI DIO'!$L$6:$U$138,10,FALSE))</f>
        <v>08006</v>
      </c>
      <c r="B152" s="79" t="str">
        <f>IF(C152="","",VLOOKUP('OPĆI DIO'!$C$3,'OPĆI DIO'!$L$6:$U$138,9,FALSE))</f>
        <v>Sveučilišta i veleučilišta u Republici Hrvatskoj</v>
      </c>
      <c r="C152" s="85">
        <v>61</v>
      </c>
      <c r="D152" s="80" t="str">
        <f t="shared" si="108"/>
        <v>Donacije</v>
      </c>
      <c r="E152" s="85">
        <v>3235</v>
      </c>
      <c r="F152" s="80" t="str">
        <f t="shared" si="105"/>
        <v>Zakupnine i najamnine</v>
      </c>
      <c r="G152" s="118" t="s">
        <v>187</v>
      </c>
      <c r="H152" s="80" t="str">
        <f t="shared" si="106"/>
        <v>REDOVNA DJELATNOST VELEUČILIŠTA I VISOKIH ŠKOLA (IZ EVIDENCIJSKIH PRIHODA)</v>
      </c>
      <c r="I152" s="80" t="str">
        <f t="shared" si="107"/>
        <v>0942</v>
      </c>
      <c r="J152" s="117"/>
      <c r="K152" s="117"/>
      <c r="L152" s="117">
        <v>6223.8600000000006</v>
      </c>
      <c r="M152" s="84"/>
      <c r="O152" s="75" t="str">
        <f t="shared" si="98"/>
        <v>323</v>
      </c>
      <c r="P152" s="75" t="str">
        <f t="shared" si="99"/>
        <v>32</v>
      </c>
      <c r="Q152" s="75" t="str">
        <f t="shared" si="100"/>
        <v>61</v>
      </c>
      <c r="R152" s="75" t="str">
        <f t="shared" si="101"/>
        <v>94</v>
      </c>
      <c r="V152" s="75">
        <v>3833</v>
      </c>
      <c r="W152" s="75" t="s">
        <v>153</v>
      </c>
      <c r="Y152" s="290" t="str">
        <f t="shared" si="109"/>
        <v>38</v>
      </c>
      <c r="Z152" s="75" t="str">
        <f t="shared" si="110"/>
        <v>383</v>
      </c>
      <c r="AB152" t="s">
        <v>1895</v>
      </c>
      <c r="AC152" t="s">
        <v>1896</v>
      </c>
      <c r="AD152" s="75" t="s">
        <v>5146</v>
      </c>
      <c r="AE152" s="75" t="s">
        <v>5147</v>
      </c>
      <c r="AF152" s="75" t="s">
        <v>5168</v>
      </c>
      <c r="AG152" s="75" t="s">
        <v>5178</v>
      </c>
    </row>
    <row r="153" spans="1:33">
      <c r="A153" s="79" t="str">
        <f>IF(C153="","",VLOOKUP('OPĆI DIO'!$C$3,'OPĆI DIO'!$L$6:$U$138,10,FALSE))</f>
        <v>08006</v>
      </c>
      <c r="B153" s="79" t="str">
        <f>IF(C153="","",VLOOKUP('OPĆI DIO'!$C$3,'OPĆI DIO'!$L$6:$U$138,9,FALSE))</f>
        <v>Sveučilišta i veleučilišta u Republici Hrvatskoj</v>
      </c>
      <c r="C153" s="85">
        <v>61</v>
      </c>
      <c r="D153" s="80" t="str">
        <f t="shared" si="108"/>
        <v>Donacije</v>
      </c>
      <c r="E153" s="85">
        <v>3237</v>
      </c>
      <c r="F153" s="80" t="str">
        <f t="shared" si="105"/>
        <v>Intelektualne i osobne usluge</v>
      </c>
      <c r="G153" s="118" t="s">
        <v>187</v>
      </c>
      <c r="H153" s="80" t="str">
        <f t="shared" si="106"/>
        <v>REDOVNA DJELATNOST VELEUČILIŠTA I VISOKIH ŠKOLA (IZ EVIDENCIJSKIH PRIHODA)</v>
      </c>
      <c r="I153" s="80" t="str">
        <f t="shared" si="107"/>
        <v>0942</v>
      </c>
      <c r="J153" s="117"/>
      <c r="K153" s="117"/>
      <c r="L153" s="117">
        <v>25810.92</v>
      </c>
      <c r="M153" s="84"/>
      <c r="O153" s="75" t="str">
        <f t="shared" si="98"/>
        <v>323</v>
      </c>
      <c r="P153" s="75" t="str">
        <f t="shared" si="99"/>
        <v>32</v>
      </c>
      <c r="Q153" s="75" t="str">
        <f t="shared" si="100"/>
        <v>61</v>
      </c>
      <c r="R153" s="75" t="str">
        <f t="shared" si="101"/>
        <v>94</v>
      </c>
      <c r="V153" s="75">
        <v>3834</v>
      </c>
      <c r="W153" s="75" t="s">
        <v>154</v>
      </c>
      <c r="Y153" s="290" t="str">
        <f t="shared" si="109"/>
        <v>38</v>
      </c>
      <c r="Z153" s="75" t="str">
        <f t="shared" si="110"/>
        <v>383</v>
      </c>
      <c r="AB153" t="s">
        <v>1634</v>
      </c>
      <c r="AC153" t="s">
        <v>1635</v>
      </c>
      <c r="AD153" s="75" t="s">
        <v>5144</v>
      </c>
      <c r="AE153" s="75" t="s">
        <v>5145</v>
      </c>
      <c r="AF153" s="75" t="s">
        <v>5170</v>
      </c>
      <c r="AG153" s="75" t="s">
        <v>5171</v>
      </c>
    </row>
    <row r="154" spans="1:33">
      <c r="A154" s="79" t="str">
        <f>IF(C154="","",VLOOKUP('OPĆI DIO'!$C$3,'OPĆI DIO'!$L$6:$U$138,10,FALSE))</f>
        <v>08006</v>
      </c>
      <c r="B154" s="79" t="str">
        <f>IF(C154="","",VLOOKUP('OPĆI DIO'!$C$3,'OPĆI DIO'!$L$6:$U$138,9,FALSE))</f>
        <v>Sveučilišta i veleučilišta u Republici Hrvatskoj</v>
      </c>
      <c r="C154" s="85">
        <v>61</v>
      </c>
      <c r="D154" s="80" t="str">
        <f t="shared" si="108"/>
        <v>Donacije</v>
      </c>
      <c r="E154" s="85">
        <v>3238</v>
      </c>
      <c r="F154" s="80" t="str">
        <f t="shared" si="105"/>
        <v>Računalne usluge</v>
      </c>
      <c r="G154" s="118" t="s">
        <v>187</v>
      </c>
      <c r="H154" s="80" t="str">
        <f t="shared" si="106"/>
        <v>REDOVNA DJELATNOST VELEUČILIŠTA I VISOKIH ŠKOLA (IZ EVIDENCIJSKIH PRIHODA)</v>
      </c>
      <c r="I154" s="80" t="str">
        <f t="shared" si="107"/>
        <v>0942</v>
      </c>
      <c r="J154" s="117"/>
      <c r="K154" s="117"/>
      <c r="L154" s="117">
        <v>699.76</v>
      </c>
      <c r="M154" s="84"/>
      <c r="O154" s="75" t="str">
        <f t="shared" si="98"/>
        <v>323</v>
      </c>
      <c r="P154" s="75" t="str">
        <f t="shared" si="99"/>
        <v>32</v>
      </c>
      <c r="Q154" s="75" t="str">
        <f t="shared" si="100"/>
        <v>61</v>
      </c>
      <c r="R154" s="75" t="str">
        <f t="shared" si="101"/>
        <v>94</v>
      </c>
      <c r="V154" s="75">
        <v>3835</v>
      </c>
      <c r="W154" s="75" t="s">
        <v>155</v>
      </c>
      <c r="Y154" s="290" t="str">
        <f t="shared" si="109"/>
        <v>38</v>
      </c>
      <c r="Z154" s="75" t="str">
        <f t="shared" si="110"/>
        <v>383</v>
      </c>
      <c r="AB154" t="s">
        <v>1897</v>
      </c>
      <c r="AC154" t="s">
        <v>1898</v>
      </c>
      <c r="AD154" s="75" t="s">
        <v>5146</v>
      </c>
      <c r="AE154" s="75" t="s">
        <v>5147</v>
      </c>
      <c r="AF154" s="75" t="s">
        <v>5168</v>
      </c>
      <c r="AG154" s="75" t="s">
        <v>5178</v>
      </c>
    </row>
    <row r="155" spans="1:33">
      <c r="A155" s="79" t="str">
        <f>IF(C155="","",VLOOKUP('OPĆI DIO'!$C$3,'OPĆI DIO'!$L$6:$U$138,10,FALSE))</f>
        <v>08006</v>
      </c>
      <c r="B155" s="79" t="str">
        <f>IF(C155="","",VLOOKUP('OPĆI DIO'!$C$3,'OPĆI DIO'!$L$6:$U$138,9,FALSE))</f>
        <v>Sveučilišta i veleučilišta u Republici Hrvatskoj</v>
      </c>
      <c r="C155" s="85">
        <v>61</v>
      </c>
      <c r="D155" s="80" t="str">
        <f t="shared" si="108"/>
        <v>Donacije</v>
      </c>
      <c r="E155" s="85">
        <v>3239</v>
      </c>
      <c r="F155" s="80" t="str">
        <f t="shared" si="105"/>
        <v>Ostale usluge</v>
      </c>
      <c r="G155" s="118" t="s">
        <v>187</v>
      </c>
      <c r="H155" s="80" t="str">
        <f t="shared" si="106"/>
        <v>REDOVNA DJELATNOST VELEUČILIŠTA I VISOKIH ŠKOLA (IZ EVIDENCIJSKIH PRIHODA)</v>
      </c>
      <c r="I155" s="80" t="str">
        <f t="shared" si="107"/>
        <v>0942</v>
      </c>
      <c r="J155" s="117"/>
      <c r="K155" s="117"/>
      <c r="L155" s="117">
        <v>13041.48</v>
      </c>
      <c r="M155" s="84"/>
      <c r="O155" s="75" t="str">
        <f t="shared" si="98"/>
        <v>323</v>
      </c>
      <c r="P155" s="75" t="str">
        <f t="shared" si="99"/>
        <v>32</v>
      </c>
      <c r="Q155" s="75" t="str">
        <f t="shared" si="100"/>
        <v>61</v>
      </c>
      <c r="R155" s="75" t="str">
        <f t="shared" si="101"/>
        <v>94</v>
      </c>
      <c r="V155" s="127">
        <v>3861</v>
      </c>
      <c r="W155" s="75" t="s">
        <v>660</v>
      </c>
      <c r="X155" s="127"/>
      <c r="Y155" s="290" t="str">
        <f>LEFT(V155,2)</f>
        <v>38</v>
      </c>
      <c r="Z155" s="127" t="str">
        <f>LEFT(V155,3)</f>
        <v>386</v>
      </c>
      <c r="AB155" t="s">
        <v>1899</v>
      </c>
      <c r="AC155" t="s">
        <v>1900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>08006</v>
      </c>
      <c r="B156" s="79" t="str">
        <f>IF(C156="","",VLOOKUP('OPĆI DIO'!$C$3,'OPĆI DIO'!$L$6:$U$138,9,FALSE))</f>
        <v>Sveučilišta i veleučilišta u Republici Hrvatskoj</v>
      </c>
      <c r="C156" s="85">
        <v>61</v>
      </c>
      <c r="D156" s="80" t="str">
        <f t="shared" si="108"/>
        <v>Donacije</v>
      </c>
      <c r="E156" s="85">
        <v>3241</v>
      </c>
      <c r="F156" s="80" t="str">
        <f t="shared" si="105"/>
        <v>Naknade troškova osobama izvan radnog odnosa</v>
      </c>
      <c r="G156" s="118" t="s">
        <v>187</v>
      </c>
      <c r="H156" s="80" t="str">
        <f t="shared" si="106"/>
        <v>REDOVNA DJELATNOST VELEUČILIŠTA I VISOKIH ŠKOLA (IZ EVIDENCIJSKIH PRIHODA)</v>
      </c>
      <c r="I156" s="80" t="str">
        <f t="shared" si="107"/>
        <v>0942</v>
      </c>
      <c r="J156" s="117">
        <v>423</v>
      </c>
      <c r="K156" s="117"/>
      <c r="L156" s="117">
        <v>3741.27</v>
      </c>
      <c r="M156" s="84"/>
      <c r="O156" s="75" t="str">
        <f t="shared" si="98"/>
        <v>324</v>
      </c>
      <c r="P156" s="75" t="str">
        <f t="shared" si="99"/>
        <v>32</v>
      </c>
      <c r="Q156" s="75" t="str">
        <f t="shared" si="100"/>
        <v>61</v>
      </c>
      <c r="R156" s="75" t="str">
        <f t="shared" si="101"/>
        <v>94</v>
      </c>
      <c r="V156" s="126">
        <v>3862</v>
      </c>
      <c r="W156" s="75" t="s">
        <v>661</v>
      </c>
      <c r="Y156" s="290" t="str">
        <f>LEFT(V156,2)</f>
        <v>38</v>
      </c>
      <c r="Z156" s="75" t="str">
        <f>LEFT(V156,3)</f>
        <v>386</v>
      </c>
      <c r="AB156" t="s">
        <v>1901</v>
      </c>
      <c r="AC156" t="s">
        <v>1902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>08006</v>
      </c>
      <c r="B157" s="79" t="str">
        <f>IF(C157="","",VLOOKUP('OPĆI DIO'!$C$3,'OPĆI DIO'!$L$6:$U$138,9,FALSE))</f>
        <v>Sveučilišta i veleučilišta u Republici Hrvatskoj</v>
      </c>
      <c r="C157" s="85">
        <v>61</v>
      </c>
      <c r="D157" s="80" t="str">
        <f t="shared" si="108"/>
        <v>Donacije</v>
      </c>
      <c r="E157" s="85">
        <v>3291</v>
      </c>
      <c r="F157" s="80" t="str">
        <f t="shared" si="105"/>
        <v>Naknade za rad predstavničkih i izvršnih tijela, povjerensta</v>
      </c>
      <c r="G157" s="118" t="s">
        <v>187</v>
      </c>
      <c r="H157" s="80" t="str">
        <f t="shared" si="106"/>
        <v>REDOVNA DJELATNOST VELEUČILIŠTA I VISOKIH ŠKOLA (IZ EVIDENCIJSKIH PRIHODA)</v>
      </c>
      <c r="I157" s="80" t="str">
        <f t="shared" si="107"/>
        <v>0942</v>
      </c>
      <c r="J157" s="117"/>
      <c r="K157" s="117"/>
      <c r="L157" s="117">
        <v>3670.5</v>
      </c>
      <c r="M157" s="84"/>
      <c r="O157" s="75" t="str">
        <f t="shared" si="98"/>
        <v>329</v>
      </c>
      <c r="P157" s="75" t="str">
        <f t="shared" si="99"/>
        <v>32</v>
      </c>
      <c r="Q157" s="75" t="str">
        <f t="shared" si="100"/>
        <v>61</v>
      </c>
      <c r="R157" s="75" t="str">
        <f t="shared" si="101"/>
        <v>94</v>
      </c>
      <c r="V157" s="126">
        <v>3863</v>
      </c>
      <c r="W157" s="75" t="s">
        <v>662</v>
      </c>
      <c r="Y157" s="290" t="str">
        <f>LEFT(V157,2)</f>
        <v>38</v>
      </c>
      <c r="Z157" s="75" t="str">
        <f>LEFT(V157,3)</f>
        <v>386</v>
      </c>
      <c r="AB157" t="s">
        <v>1903</v>
      </c>
      <c r="AC157" t="s">
        <v>1904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>08006</v>
      </c>
      <c r="B158" s="79" t="str">
        <f>IF(C158="","",VLOOKUP('OPĆI DIO'!$C$3,'OPĆI DIO'!$L$6:$U$138,9,FALSE))</f>
        <v>Sveučilišta i veleučilišta u Republici Hrvatskoj</v>
      </c>
      <c r="C158" s="85">
        <v>61</v>
      </c>
      <c r="D158" s="80" t="str">
        <f t="shared" si="108"/>
        <v>Donacije</v>
      </c>
      <c r="E158" s="85">
        <v>3299</v>
      </c>
      <c r="F158" s="80" t="str">
        <f t="shared" si="105"/>
        <v>Ostali nespomenuti rashodi poslovanja</v>
      </c>
      <c r="G158" s="118" t="s">
        <v>187</v>
      </c>
      <c r="H158" s="80" t="str">
        <f t="shared" si="106"/>
        <v>REDOVNA DJELATNOST VELEUČILIŠTA I VISOKIH ŠKOLA (IZ EVIDENCIJSKIH PRIHODA)</v>
      </c>
      <c r="I158" s="80" t="str">
        <f t="shared" si="107"/>
        <v>0942</v>
      </c>
      <c r="J158" s="117"/>
      <c r="K158" s="117"/>
      <c r="L158" s="117">
        <v>199.08</v>
      </c>
      <c r="M158" s="84"/>
      <c r="O158" s="75" t="str">
        <f t="shared" si="98"/>
        <v>329</v>
      </c>
      <c r="P158" s="75" t="str">
        <f t="shared" si="99"/>
        <v>32</v>
      </c>
      <c r="Q158" s="75" t="str">
        <f t="shared" si="100"/>
        <v>61</v>
      </c>
      <c r="R158" s="75" t="str">
        <f t="shared" si="101"/>
        <v>94</v>
      </c>
      <c r="V158" s="75">
        <v>4111</v>
      </c>
      <c r="W158" s="75" t="s">
        <v>156</v>
      </c>
      <c r="Y158" s="290" t="str">
        <f t="shared" ref="Y158:Y175" si="111">LEFT(V158,2)</f>
        <v>41</v>
      </c>
      <c r="Z158" s="75" t="str">
        <f t="shared" ref="Z158:Z192" si="112">LEFT(V158,3)</f>
        <v>411</v>
      </c>
      <c r="AB158" t="s">
        <v>1905</v>
      </c>
      <c r="AC158" t="s">
        <v>1906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>08006</v>
      </c>
      <c r="B159" s="79" t="str">
        <f>IF(C159="","",VLOOKUP('OPĆI DIO'!$C$3,'OPĆI DIO'!$L$6:$U$138,9,FALSE))</f>
        <v>Sveučilišta i veleučilišta u Republici Hrvatskoj</v>
      </c>
      <c r="C159" s="85">
        <v>61</v>
      </c>
      <c r="D159" s="80" t="str">
        <f t="shared" si="108"/>
        <v>Donacije</v>
      </c>
      <c r="E159" s="85">
        <v>3721</v>
      </c>
      <c r="F159" s="80" t="str">
        <f t="shared" si="105"/>
        <v>Naknade građanima i kućanstvima u novcu</v>
      </c>
      <c r="G159" s="118" t="s">
        <v>187</v>
      </c>
      <c r="H159" s="80" t="str">
        <f t="shared" si="106"/>
        <v>REDOVNA DJELATNOST VELEUČILIŠTA I VISOKIH ŠKOLA (IZ EVIDENCIJSKIH PRIHODA)</v>
      </c>
      <c r="I159" s="80" t="str">
        <f t="shared" si="107"/>
        <v>0942</v>
      </c>
      <c r="J159" s="117">
        <v>531</v>
      </c>
      <c r="K159" s="117"/>
      <c r="L159" s="117"/>
      <c r="M159" s="84"/>
      <c r="O159" s="75" t="str">
        <f t="shared" ref="O159:O205" si="113">LEFT(E159,3)</f>
        <v>372</v>
      </c>
      <c r="P159" s="75" t="str">
        <f t="shared" ref="P159:P205" si="114">LEFT(E159,2)</f>
        <v>37</v>
      </c>
      <c r="Q159" s="75" t="str">
        <f t="shared" ref="Q159:Q205" si="115">LEFT(C159,3)</f>
        <v>61</v>
      </c>
      <c r="R159" s="75" t="str">
        <f t="shared" ref="R159:R205" si="116">MID(I159,2,2)</f>
        <v>94</v>
      </c>
      <c r="V159" s="75">
        <v>4113</v>
      </c>
      <c r="W159" s="75" t="s">
        <v>190</v>
      </c>
      <c r="Y159" s="290" t="str">
        <f t="shared" si="111"/>
        <v>41</v>
      </c>
      <c r="Z159" s="75" t="str">
        <f t="shared" si="112"/>
        <v>411</v>
      </c>
      <c r="AB159" t="s">
        <v>1907</v>
      </c>
      <c r="AC159" t="s">
        <v>1908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>08006</v>
      </c>
      <c r="B160" s="79" t="str">
        <f>IF(C160="","",VLOOKUP('OPĆI DIO'!$C$3,'OPĆI DIO'!$L$6:$U$138,9,FALSE))</f>
        <v>Sveučilišta i veleučilišta u Republici Hrvatskoj</v>
      </c>
      <c r="C160" s="85">
        <v>61</v>
      </c>
      <c r="D160" s="80" t="str">
        <f t="shared" si="108"/>
        <v>Donacije</v>
      </c>
      <c r="E160" s="85">
        <v>4241</v>
      </c>
      <c r="F160" s="80" t="str">
        <f t="shared" si="105"/>
        <v>Knjige</v>
      </c>
      <c r="G160" s="118" t="s">
        <v>187</v>
      </c>
      <c r="H160" s="80" t="str">
        <f t="shared" si="106"/>
        <v>REDOVNA DJELATNOST VELEUČILIŠTA I VISOKIH ŠKOLA (IZ EVIDENCIJSKIH PRIHODA)</v>
      </c>
      <c r="I160" s="80" t="str">
        <f t="shared" si="107"/>
        <v>0942</v>
      </c>
      <c r="J160" s="117">
        <v>754</v>
      </c>
      <c r="K160" s="117"/>
      <c r="L160" s="117"/>
      <c r="M160" s="84"/>
      <c r="O160" s="75" t="str">
        <f t="shared" si="113"/>
        <v>424</v>
      </c>
      <c r="P160" s="75" t="str">
        <f t="shared" si="114"/>
        <v>42</v>
      </c>
      <c r="Q160" s="75" t="str">
        <f t="shared" si="115"/>
        <v>61</v>
      </c>
      <c r="R160" s="75" t="str">
        <f t="shared" si="116"/>
        <v>94</v>
      </c>
      <c r="V160" s="75">
        <v>4122</v>
      </c>
      <c r="W160" s="75" t="s">
        <v>157</v>
      </c>
      <c r="Y160" s="290" t="str">
        <f t="shared" si="111"/>
        <v>41</v>
      </c>
      <c r="Z160" s="75" t="str">
        <f t="shared" si="112"/>
        <v>412</v>
      </c>
      <c r="AB160" t="s">
        <v>1921</v>
      </c>
      <c r="AC160" t="s">
        <v>1922</v>
      </c>
      <c r="AD160" s="75" t="s">
        <v>5146</v>
      </c>
      <c r="AE160" s="75" t="s">
        <v>5147</v>
      </c>
      <c r="AF160" s="75" t="s">
        <v>5168</v>
      </c>
      <c r="AG160" s="75" t="s">
        <v>5178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108"/>
        <v/>
      </c>
      <c r="E161" s="85"/>
      <c r="F161" s="80" t="str">
        <f t="shared" si="105"/>
        <v/>
      </c>
      <c r="G161" s="118"/>
      <c r="H161" s="80" t="str">
        <f t="shared" si="106"/>
        <v/>
      </c>
      <c r="I161" s="80" t="str">
        <f t="shared" si="107"/>
        <v/>
      </c>
      <c r="J161" s="117"/>
      <c r="K161" s="117"/>
      <c r="L161" s="117"/>
      <c r="M161" s="84"/>
      <c r="O161" s="75" t="str">
        <f t="shared" si="113"/>
        <v/>
      </c>
      <c r="P161" s="75" t="str">
        <f t="shared" si="114"/>
        <v/>
      </c>
      <c r="Q161" s="75" t="str">
        <f t="shared" si="115"/>
        <v/>
      </c>
      <c r="R161" s="75" t="str">
        <f t="shared" si="116"/>
        <v/>
      </c>
      <c r="V161" s="75">
        <v>4123</v>
      </c>
      <c r="W161" s="75" t="s">
        <v>128</v>
      </c>
      <c r="Y161" s="290" t="str">
        <f t="shared" si="111"/>
        <v>41</v>
      </c>
      <c r="Z161" s="75" t="str">
        <f t="shared" si="112"/>
        <v>412</v>
      </c>
      <c r="AB161" t="s">
        <v>1636</v>
      </c>
      <c r="AC161" t="s">
        <v>1637</v>
      </c>
      <c r="AD161" s="75" t="s">
        <v>5144</v>
      </c>
      <c r="AE161" s="75" t="s">
        <v>5145</v>
      </c>
      <c r="AF161" s="75" t="s">
        <v>5170</v>
      </c>
      <c r="AG161" s="75" t="s">
        <v>5171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108"/>
        <v/>
      </c>
      <c r="E162" s="85"/>
      <c r="F162" s="80" t="str">
        <f t="shared" si="105"/>
        <v/>
      </c>
      <c r="G162" s="118"/>
      <c r="H162" s="80" t="str">
        <f t="shared" si="106"/>
        <v/>
      </c>
      <c r="I162" s="80" t="str">
        <f t="shared" si="107"/>
        <v/>
      </c>
      <c r="J162" s="117"/>
      <c r="K162" s="117"/>
      <c r="L162" s="117"/>
      <c r="M162" s="84"/>
      <c r="O162" s="75" t="str">
        <f t="shared" si="113"/>
        <v/>
      </c>
      <c r="P162" s="75" t="str">
        <f t="shared" si="114"/>
        <v/>
      </c>
      <c r="Q162" s="75" t="str">
        <f t="shared" si="115"/>
        <v/>
      </c>
      <c r="R162" s="75" t="str">
        <f t="shared" si="116"/>
        <v/>
      </c>
      <c r="V162" s="75">
        <v>4124</v>
      </c>
      <c r="W162" s="75" t="s">
        <v>114</v>
      </c>
      <c r="Y162" s="290" t="str">
        <f t="shared" si="111"/>
        <v>41</v>
      </c>
      <c r="Z162" s="75" t="str">
        <f t="shared" si="112"/>
        <v>412</v>
      </c>
      <c r="AB162" t="s">
        <v>1636</v>
      </c>
      <c r="AC162" t="s">
        <v>1637</v>
      </c>
      <c r="AD162" s="75" t="s">
        <v>5146</v>
      </c>
      <c r="AE162" s="75" t="s">
        <v>5147</v>
      </c>
      <c r="AF162" s="75" t="s">
        <v>5168</v>
      </c>
      <c r="AG162" s="75" t="s">
        <v>5178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108"/>
        <v/>
      </c>
      <c r="E163" s="85"/>
      <c r="F163" s="80" t="str">
        <f t="shared" si="105"/>
        <v/>
      </c>
      <c r="G163" s="118"/>
      <c r="H163" s="80" t="str">
        <f t="shared" si="106"/>
        <v/>
      </c>
      <c r="I163" s="80" t="str">
        <f t="shared" si="107"/>
        <v/>
      </c>
      <c r="J163" s="117"/>
      <c r="K163" s="117"/>
      <c r="L163" s="117"/>
      <c r="M163" s="84"/>
      <c r="O163" s="75" t="str">
        <f t="shared" si="113"/>
        <v/>
      </c>
      <c r="P163" s="75" t="str">
        <f t="shared" si="114"/>
        <v/>
      </c>
      <c r="Q163" s="75" t="str">
        <f t="shared" si="115"/>
        <v/>
      </c>
      <c r="R163" s="75" t="str">
        <f t="shared" si="116"/>
        <v/>
      </c>
      <c r="V163" s="75">
        <v>4126</v>
      </c>
      <c r="W163" s="75" t="s">
        <v>158</v>
      </c>
      <c r="Y163" s="290" t="str">
        <f t="shared" si="111"/>
        <v>41</v>
      </c>
      <c r="Z163" s="75" t="str">
        <f t="shared" si="112"/>
        <v>412</v>
      </c>
      <c r="AB163" t="s">
        <v>950</v>
      </c>
      <c r="AC163" t="s">
        <v>951</v>
      </c>
      <c r="AD163" s="75" t="s">
        <v>5146</v>
      </c>
      <c r="AE163" s="75" t="s">
        <v>5147</v>
      </c>
      <c r="AF163" s="75" t="s">
        <v>5168</v>
      </c>
      <c r="AG163" s="75" t="s">
        <v>5178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108"/>
        <v/>
      </c>
      <c r="E164" s="85"/>
      <c r="F164" s="80" t="str">
        <f t="shared" si="105"/>
        <v/>
      </c>
      <c r="G164" s="118"/>
      <c r="H164" s="80" t="str">
        <f t="shared" si="106"/>
        <v/>
      </c>
      <c r="I164" s="80" t="str">
        <f t="shared" si="107"/>
        <v/>
      </c>
      <c r="J164" s="117"/>
      <c r="K164" s="117"/>
      <c r="L164" s="117"/>
      <c r="M164" s="84"/>
      <c r="O164" s="75" t="str">
        <f t="shared" si="113"/>
        <v/>
      </c>
      <c r="P164" s="75" t="str">
        <f t="shared" si="114"/>
        <v/>
      </c>
      <c r="Q164" s="75" t="str">
        <f t="shared" si="115"/>
        <v/>
      </c>
      <c r="R164" s="75" t="str">
        <f t="shared" si="116"/>
        <v/>
      </c>
      <c r="V164" s="75">
        <v>4211</v>
      </c>
      <c r="W164" s="75" t="s">
        <v>172</v>
      </c>
      <c r="Y164" s="290" t="str">
        <f t="shared" si="111"/>
        <v>42</v>
      </c>
      <c r="Z164" s="75" t="str">
        <f t="shared" si="112"/>
        <v>421</v>
      </c>
      <c r="AB164" t="s">
        <v>952</v>
      </c>
      <c r="AC164" t="s">
        <v>953</v>
      </c>
      <c r="AD164" s="75" t="s">
        <v>5146</v>
      </c>
      <c r="AE164" s="75" t="s">
        <v>5147</v>
      </c>
      <c r="AF164" s="75" t="s">
        <v>5168</v>
      </c>
      <c r="AG164" s="75" t="s">
        <v>5178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108"/>
        <v/>
      </c>
      <c r="E165" s="85"/>
      <c r="F165" s="80" t="str">
        <f t="shared" si="105"/>
        <v/>
      </c>
      <c r="G165" s="118"/>
      <c r="H165" s="80" t="str">
        <f t="shared" si="106"/>
        <v/>
      </c>
      <c r="I165" s="80" t="str">
        <f t="shared" si="107"/>
        <v/>
      </c>
      <c r="J165" s="117"/>
      <c r="K165" s="117"/>
      <c r="L165" s="117"/>
      <c r="M165" s="84"/>
      <c r="O165" s="75" t="str">
        <f t="shared" si="113"/>
        <v/>
      </c>
      <c r="P165" s="75" t="str">
        <f t="shared" si="114"/>
        <v/>
      </c>
      <c r="Q165" s="75" t="str">
        <f t="shared" si="115"/>
        <v/>
      </c>
      <c r="R165" s="75" t="str">
        <f t="shared" si="116"/>
        <v/>
      </c>
      <c r="V165" s="75">
        <v>4212</v>
      </c>
      <c r="W165" s="75" t="s">
        <v>60</v>
      </c>
      <c r="Y165" s="290" t="str">
        <f t="shared" si="111"/>
        <v>42</v>
      </c>
      <c r="Z165" s="75" t="str">
        <f t="shared" si="112"/>
        <v>421</v>
      </c>
      <c r="AB165" t="s">
        <v>959</v>
      </c>
      <c r="AC165" t="s">
        <v>960</v>
      </c>
      <c r="AD165" s="75" t="s">
        <v>5144</v>
      </c>
      <c r="AE165" s="75" t="s">
        <v>5145</v>
      </c>
      <c r="AF165" s="75" t="s">
        <v>5170</v>
      </c>
      <c r="AG165" s="75" t="s">
        <v>5171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108"/>
        <v/>
      </c>
      <c r="E166" s="85"/>
      <c r="F166" s="80" t="str">
        <f t="shared" si="105"/>
        <v/>
      </c>
      <c r="G166" s="118"/>
      <c r="H166" s="80" t="str">
        <f t="shared" si="106"/>
        <v/>
      </c>
      <c r="I166" s="80" t="str">
        <f t="shared" si="107"/>
        <v/>
      </c>
      <c r="J166" s="117"/>
      <c r="K166" s="117"/>
      <c r="L166" s="117"/>
      <c r="M166" s="84"/>
      <c r="O166" s="75" t="str">
        <f t="shared" si="113"/>
        <v/>
      </c>
      <c r="P166" s="75" t="str">
        <f t="shared" si="114"/>
        <v/>
      </c>
      <c r="Q166" s="75" t="str">
        <f t="shared" si="115"/>
        <v/>
      </c>
      <c r="R166" s="75" t="str">
        <f t="shared" si="116"/>
        <v/>
      </c>
      <c r="V166" s="75">
        <v>4213</v>
      </c>
      <c r="W166" s="75" t="s">
        <v>159</v>
      </c>
      <c r="Y166" s="290" t="str">
        <f t="shared" si="111"/>
        <v>42</v>
      </c>
      <c r="Z166" s="75" t="str">
        <f t="shared" si="112"/>
        <v>421</v>
      </c>
      <c r="AB166" t="s">
        <v>1638</v>
      </c>
      <c r="AC166" t="s">
        <v>1639</v>
      </c>
      <c r="AD166" s="75" t="s">
        <v>5144</v>
      </c>
      <c r="AE166" s="75" t="s">
        <v>5145</v>
      </c>
      <c r="AF166" s="75" t="s">
        <v>5170</v>
      </c>
      <c r="AG166" s="75" t="s">
        <v>5171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108"/>
        <v/>
      </c>
      <c r="E167" s="85"/>
      <c r="F167" s="80" t="str">
        <f t="shared" si="105"/>
        <v/>
      </c>
      <c r="G167" s="118"/>
      <c r="H167" s="80" t="str">
        <f t="shared" si="106"/>
        <v/>
      </c>
      <c r="I167" s="80" t="str">
        <f t="shared" si="107"/>
        <v/>
      </c>
      <c r="J167" s="117"/>
      <c r="K167" s="117"/>
      <c r="L167" s="117"/>
      <c r="M167" s="84"/>
      <c r="O167" s="75" t="str">
        <f t="shared" si="113"/>
        <v/>
      </c>
      <c r="P167" s="75" t="str">
        <f t="shared" si="114"/>
        <v/>
      </c>
      <c r="Q167" s="75" t="str">
        <f t="shared" si="115"/>
        <v/>
      </c>
      <c r="R167" s="75" t="str">
        <f t="shared" si="116"/>
        <v/>
      </c>
      <c r="V167" s="75">
        <v>4214</v>
      </c>
      <c r="W167" s="75" t="s">
        <v>160</v>
      </c>
      <c r="Y167" s="290" t="str">
        <f t="shared" si="111"/>
        <v>42</v>
      </c>
      <c r="Z167" s="75" t="str">
        <f t="shared" si="112"/>
        <v>421</v>
      </c>
      <c r="AB167" t="s">
        <v>1923</v>
      </c>
      <c r="AC167" t="s">
        <v>1924</v>
      </c>
      <c r="AD167" s="75" t="s">
        <v>5144</v>
      </c>
      <c r="AE167" s="75" t="s">
        <v>5145</v>
      </c>
      <c r="AF167" s="75" t="s">
        <v>5170</v>
      </c>
      <c r="AG167" s="75" t="s">
        <v>5171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108"/>
        <v/>
      </c>
      <c r="E168" s="85"/>
      <c r="F168" s="80" t="str">
        <f t="shared" si="105"/>
        <v/>
      </c>
      <c r="G168" s="118"/>
      <c r="H168" s="80" t="str">
        <f t="shared" si="106"/>
        <v/>
      </c>
      <c r="I168" s="80" t="str">
        <f t="shared" si="107"/>
        <v/>
      </c>
      <c r="J168" s="117"/>
      <c r="K168" s="117"/>
      <c r="L168" s="117"/>
      <c r="M168" s="84"/>
      <c r="O168" s="75" t="str">
        <f t="shared" si="113"/>
        <v/>
      </c>
      <c r="P168" s="75" t="str">
        <f t="shared" si="114"/>
        <v/>
      </c>
      <c r="Q168" s="75" t="str">
        <f t="shared" si="115"/>
        <v/>
      </c>
      <c r="R168" s="75" t="str">
        <f t="shared" si="116"/>
        <v/>
      </c>
      <c r="V168" s="75">
        <v>4221</v>
      </c>
      <c r="W168" s="75" t="s">
        <v>95</v>
      </c>
      <c r="Y168" s="290" t="str">
        <f t="shared" si="111"/>
        <v>42</v>
      </c>
      <c r="Z168" s="75" t="str">
        <f t="shared" si="112"/>
        <v>422</v>
      </c>
      <c r="AB168" t="s">
        <v>1640</v>
      </c>
      <c r="AC168" t="s">
        <v>1641</v>
      </c>
      <c r="AD168" s="75" t="s">
        <v>5146</v>
      </c>
      <c r="AE168" s="75" t="s">
        <v>5147</v>
      </c>
      <c r="AF168" s="75" t="s">
        <v>5168</v>
      </c>
      <c r="AG168" s="75" t="s">
        <v>5178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108"/>
        <v/>
      </c>
      <c r="E169" s="85"/>
      <c r="F169" s="80" t="str">
        <f t="shared" si="105"/>
        <v/>
      </c>
      <c r="G169" s="118"/>
      <c r="H169" s="80" t="str">
        <f t="shared" si="106"/>
        <v/>
      </c>
      <c r="I169" s="80" t="str">
        <f t="shared" si="107"/>
        <v/>
      </c>
      <c r="J169" s="117"/>
      <c r="K169" s="117"/>
      <c r="L169" s="117"/>
      <c r="M169" s="84"/>
      <c r="O169" s="75" t="str">
        <f t="shared" si="113"/>
        <v/>
      </c>
      <c r="P169" s="75" t="str">
        <f t="shared" si="114"/>
        <v/>
      </c>
      <c r="Q169" s="75" t="str">
        <f t="shared" si="115"/>
        <v/>
      </c>
      <c r="R169" s="75" t="str">
        <f t="shared" si="116"/>
        <v/>
      </c>
      <c r="V169" s="75">
        <v>4222</v>
      </c>
      <c r="W169" s="75" t="s">
        <v>106</v>
      </c>
      <c r="Y169" s="290" t="str">
        <f t="shared" si="111"/>
        <v>42</v>
      </c>
      <c r="Z169" s="75" t="str">
        <f t="shared" si="112"/>
        <v>422</v>
      </c>
      <c r="AB169" t="s">
        <v>1925</v>
      </c>
      <c r="AC169" t="s">
        <v>1926</v>
      </c>
      <c r="AD169" s="75" t="s">
        <v>5146</v>
      </c>
      <c r="AE169" s="75" t="s">
        <v>5147</v>
      </c>
      <c r="AF169" s="75" t="s">
        <v>5168</v>
      </c>
      <c r="AG169" s="75" t="s">
        <v>5178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108"/>
        <v/>
      </c>
      <c r="E170" s="85"/>
      <c r="F170" s="80" t="str">
        <f t="shared" si="105"/>
        <v/>
      </c>
      <c r="G170" s="118"/>
      <c r="H170" s="80" t="str">
        <f t="shared" si="106"/>
        <v/>
      </c>
      <c r="I170" s="80" t="str">
        <f t="shared" si="107"/>
        <v/>
      </c>
      <c r="J170" s="117"/>
      <c r="K170" s="117"/>
      <c r="L170" s="117"/>
      <c r="M170" s="84"/>
      <c r="O170" s="75" t="str">
        <f t="shared" si="113"/>
        <v/>
      </c>
      <c r="P170" s="75" t="str">
        <f t="shared" si="114"/>
        <v/>
      </c>
      <c r="Q170" s="75" t="str">
        <f t="shared" si="115"/>
        <v/>
      </c>
      <c r="R170" s="75" t="str">
        <f t="shared" si="116"/>
        <v/>
      </c>
      <c r="V170" s="75">
        <v>4223</v>
      </c>
      <c r="W170" s="75" t="s">
        <v>119</v>
      </c>
      <c r="Y170" s="290" t="str">
        <f t="shared" si="111"/>
        <v>42</v>
      </c>
      <c r="Z170" s="75" t="str">
        <f t="shared" si="112"/>
        <v>422</v>
      </c>
      <c r="AB170" t="s">
        <v>1927</v>
      </c>
      <c r="AC170" t="s">
        <v>1928</v>
      </c>
      <c r="AD170" s="75" t="s">
        <v>5146</v>
      </c>
      <c r="AE170" s="75" t="s">
        <v>5147</v>
      </c>
      <c r="AF170" s="75" t="s">
        <v>5168</v>
      </c>
      <c r="AG170" s="75" t="s">
        <v>5178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108"/>
        <v/>
      </c>
      <c r="E171" s="85"/>
      <c r="F171" s="80" t="str">
        <f t="shared" si="105"/>
        <v/>
      </c>
      <c r="G171" s="118"/>
      <c r="H171" s="80" t="str">
        <f t="shared" si="106"/>
        <v/>
      </c>
      <c r="I171" s="80" t="str">
        <f t="shared" si="107"/>
        <v/>
      </c>
      <c r="J171" s="117"/>
      <c r="K171" s="117"/>
      <c r="L171" s="117"/>
      <c r="M171" s="84"/>
      <c r="O171" s="75" t="str">
        <f t="shared" si="113"/>
        <v/>
      </c>
      <c r="P171" s="75" t="str">
        <f t="shared" si="114"/>
        <v/>
      </c>
      <c r="Q171" s="75" t="str">
        <f t="shared" si="115"/>
        <v/>
      </c>
      <c r="R171" s="75" t="str">
        <f t="shared" si="116"/>
        <v/>
      </c>
      <c r="V171" s="75">
        <v>4224</v>
      </c>
      <c r="W171" s="75" t="s">
        <v>112</v>
      </c>
      <c r="Y171" s="290" t="str">
        <f t="shared" si="111"/>
        <v>42</v>
      </c>
      <c r="Z171" s="75" t="str">
        <f t="shared" si="112"/>
        <v>422</v>
      </c>
      <c r="AB171" t="s">
        <v>1929</v>
      </c>
      <c r="AC171" t="s">
        <v>1930</v>
      </c>
      <c r="AD171" s="75" t="s">
        <v>5146</v>
      </c>
      <c r="AE171" s="75" t="s">
        <v>5147</v>
      </c>
      <c r="AF171" s="75" t="s">
        <v>5168</v>
      </c>
      <c r="AG171" s="75" t="s">
        <v>5178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108"/>
        <v/>
      </c>
      <c r="E172" s="85"/>
      <c r="F172" s="80" t="str">
        <f t="shared" si="105"/>
        <v/>
      </c>
      <c r="G172" s="118"/>
      <c r="H172" s="80" t="str">
        <f t="shared" si="106"/>
        <v/>
      </c>
      <c r="I172" s="80" t="str">
        <f t="shared" si="107"/>
        <v/>
      </c>
      <c r="J172" s="117"/>
      <c r="K172" s="117"/>
      <c r="L172" s="117"/>
      <c r="M172" s="84"/>
      <c r="O172" s="75" t="str">
        <f t="shared" si="113"/>
        <v/>
      </c>
      <c r="P172" s="75" t="str">
        <f t="shared" si="114"/>
        <v/>
      </c>
      <c r="Q172" s="75" t="str">
        <f t="shared" si="115"/>
        <v/>
      </c>
      <c r="R172" s="75" t="str">
        <f t="shared" si="116"/>
        <v/>
      </c>
      <c r="V172" s="75">
        <v>4225</v>
      </c>
      <c r="W172" s="75" t="s">
        <v>116</v>
      </c>
      <c r="Y172" s="290" t="str">
        <f t="shared" si="111"/>
        <v>42</v>
      </c>
      <c r="Z172" s="75" t="str">
        <f t="shared" si="112"/>
        <v>422</v>
      </c>
      <c r="AB172" t="s">
        <v>1931</v>
      </c>
      <c r="AC172" t="s">
        <v>1932</v>
      </c>
      <c r="AD172" s="75" t="s">
        <v>5146</v>
      </c>
      <c r="AE172" s="75" t="s">
        <v>5147</v>
      </c>
      <c r="AF172" s="75" t="s">
        <v>5168</v>
      </c>
      <c r="AG172" s="75" t="s">
        <v>5178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108"/>
        <v/>
      </c>
      <c r="E173" s="85"/>
      <c r="F173" s="80" t="str">
        <f t="shared" si="105"/>
        <v/>
      </c>
      <c r="G173" s="118"/>
      <c r="H173" s="80" t="str">
        <f t="shared" si="106"/>
        <v/>
      </c>
      <c r="I173" s="80" t="str">
        <f t="shared" si="107"/>
        <v/>
      </c>
      <c r="J173" s="117"/>
      <c r="K173" s="117"/>
      <c r="L173" s="117"/>
      <c r="M173" s="84"/>
      <c r="O173" s="75" t="str">
        <f t="shared" si="113"/>
        <v/>
      </c>
      <c r="P173" s="75" t="str">
        <f t="shared" si="114"/>
        <v/>
      </c>
      <c r="Q173" s="75" t="str">
        <f t="shared" si="115"/>
        <v/>
      </c>
      <c r="R173" s="75" t="str">
        <f t="shared" si="116"/>
        <v/>
      </c>
      <c r="V173" s="75">
        <v>4226</v>
      </c>
      <c r="W173" s="75" t="s">
        <v>161</v>
      </c>
      <c r="Y173" s="290" t="str">
        <f t="shared" si="111"/>
        <v>42</v>
      </c>
      <c r="Z173" s="75" t="str">
        <f t="shared" si="112"/>
        <v>422</v>
      </c>
      <c r="AB173" t="s">
        <v>1933</v>
      </c>
      <c r="AC173" t="s">
        <v>1934</v>
      </c>
      <c r="AD173" s="75" t="s">
        <v>5146</v>
      </c>
      <c r="AE173" s="75" t="s">
        <v>5147</v>
      </c>
      <c r="AF173" s="75" t="s">
        <v>5168</v>
      </c>
      <c r="AG173" s="75" t="s">
        <v>5178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108"/>
        <v/>
      </c>
      <c r="E174" s="85"/>
      <c r="F174" s="80" t="str">
        <f t="shared" si="105"/>
        <v/>
      </c>
      <c r="G174" s="118"/>
      <c r="H174" s="80" t="str">
        <f t="shared" si="106"/>
        <v/>
      </c>
      <c r="I174" s="80" t="str">
        <f t="shared" si="107"/>
        <v/>
      </c>
      <c r="J174" s="117"/>
      <c r="K174" s="117"/>
      <c r="L174" s="117"/>
      <c r="M174" s="84"/>
      <c r="O174" s="75" t="str">
        <f t="shared" si="113"/>
        <v/>
      </c>
      <c r="P174" s="75" t="str">
        <f t="shared" si="114"/>
        <v/>
      </c>
      <c r="Q174" s="75" t="str">
        <f t="shared" si="115"/>
        <v/>
      </c>
      <c r="R174" s="75" t="str">
        <f t="shared" si="116"/>
        <v/>
      </c>
      <c r="V174" s="75">
        <v>4227</v>
      </c>
      <c r="W174" s="75" t="s">
        <v>129</v>
      </c>
      <c r="Y174" s="290" t="str">
        <f t="shared" si="111"/>
        <v>42</v>
      </c>
      <c r="Z174" s="75" t="str">
        <f t="shared" si="112"/>
        <v>422</v>
      </c>
      <c r="AB174" t="s">
        <v>1935</v>
      </c>
      <c r="AC174" t="s">
        <v>1936</v>
      </c>
      <c r="AD174" s="75" t="s">
        <v>5146</v>
      </c>
      <c r="AE174" s="75" t="s">
        <v>5147</v>
      </c>
      <c r="AF174" s="75" t="s">
        <v>5168</v>
      </c>
      <c r="AG174" s="75" t="s">
        <v>5178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108"/>
        <v/>
      </c>
      <c r="E175" s="85"/>
      <c r="F175" s="80" t="str">
        <f t="shared" si="105"/>
        <v/>
      </c>
      <c r="G175" s="118"/>
      <c r="H175" s="80" t="str">
        <f t="shared" si="106"/>
        <v/>
      </c>
      <c r="I175" s="80" t="str">
        <f t="shared" si="107"/>
        <v/>
      </c>
      <c r="J175" s="117"/>
      <c r="K175" s="117"/>
      <c r="L175" s="117"/>
      <c r="M175" s="84"/>
      <c r="O175" s="75" t="str">
        <f t="shared" si="113"/>
        <v/>
      </c>
      <c r="P175" s="75" t="str">
        <f t="shared" si="114"/>
        <v/>
      </c>
      <c r="Q175" s="75" t="str">
        <f t="shared" si="115"/>
        <v/>
      </c>
      <c r="R175" s="75" t="str">
        <f t="shared" si="116"/>
        <v/>
      </c>
      <c r="V175" s="75">
        <v>4231</v>
      </c>
      <c r="W175" s="75" t="s">
        <v>162</v>
      </c>
      <c r="Y175" s="290" t="str">
        <f t="shared" si="111"/>
        <v>42</v>
      </c>
      <c r="Z175" s="75" t="str">
        <f t="shared" si="112"/>
        <v>423</v>
      </c>
      <c r="AB175" t="s">
        <v>1937</v>
      </c>
      <c r="AC175" t="s">
        <v>1938</v>
      </c>
      <c r="AD175" s="75" t="s">
        <v>5146</v>
      </c>
      <c r="AE175" s="75" t="s">
        <v>5147</v>
      </c>
      <c r="AF175" s="75" t="s">
        <v>5168</v>
      </c>
      <c r="AG175" s="75" t="s">
        <v>5178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108"/>
        <v/>
      </c>
      <c r="E176" s="85"/>
      <c r="F176" s="80" t="str">
        <f t="shared" si="105"/>
        <v/>
      </c>
      <c r="G176" s="118"/>
      <c r="H176" s="80" t="str">
        <f t="shared" si="106"/>
        <v/>
      </c>
      <c r="I176" s="80" t="str">
        <f t="shared" si="107"/>
        <v/>
      </c>
      <c r="J176" s="117"/>
      <c r="K176" s="117"/>
      <c r="L176" s="117"/>
      <c r="M176" s="84"/>
      <c r="O176" s="75" t="str">
        <f t="shared" si="113"/>
        <v/>
      </c>
      <c r="P176" s="75" t="str">
        <f t="shared" si="114"/>
        <v/>
      </c>
      <c r="Q176" s="75" t="str">
        <f t="shared" si="115"/>
        <v/>
      </c>
      <c r="R176" s="75" t="str">
        <f t="shared" si="116"/>
        <v/>
      </c>
      <c r="V176" s="75">
        <v>4233</v>
      </c>
      <c r="W176" s="75" t="s">
        <v>170</v>
      </c>
      <c r="Y176" s="290" t="str">
        <f t="shared" ref="Y176:Y203" si="117">LEFT(V176,2)</f>
        <v>42</v>
      </c>
      <c r="Z176" s="75" t="str">
        <f t="shared" si="112"/>
        <v>423</v>
      </c>
      <c r="AB176" t="s">
        <v>1939</v>
      </c>
      <c r="AC176" t="s">
        <v>1940</v>
      </c>
      <c r="AD176" s="75" t="s">
        <v>5144</v>
      </c>
      <c r="AE176" s="75" t="s">
        <v>5145</v>
      </c>
      <c r="AF176" s="75" t="s">
        <v>5170</v>
      </c>
      <c r="AG176" s="75" t="s">
        <v>5171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108"/>
        <v/>
      </c>
      <c r="E177" s="85"/>
      <c r="F177" s="80" t="str">
        <f t="shared" si="105"/>
        <v/>
      </c>
      <c r="G177" s="118"/>
      <c r="H177" s="80" t="str">
        <f t="shared" si="106"/>
        <v/>
      </c>
      <c r="I177" s="80" t="str">
        <f t="shared" si="107"/>
        <v/>
      </c>
      <c r="J177" s="117"/>
      <c r="K177" s="117"/>
      <c r="L177" s="117"/>
      <c r="M177" s="84"/>
      <c r="O177" s="75" t="str">
        <f t="shared" si="113"/>
        <v/>
      </c>
      <c r="P177" s="75" t="str">
        <f t="shared" si="114"/>
        <v/>
      </c>
      <c r="Q177" s="75" t="str">
        <f t="shared" si="115"/>
        <v/>
      </c>
      <c r="R177" s="75" t="str">
        <f t="shared" si="116"/>
        <v/>
      </c>
      <c r="V177" s="75">
        <v>4241</v>
      </c>
      <c r="W177" s="75" t="s">
        <v>107</v>
      </c>
      <c r="Y177" s="290" t="str">
        <f t="shared" si="117"/>
        <v>42</v>
      </c>
      <c r="Z177" s="75" t="str">
        <f t="shared" si="112"/>
        <v>424</v>
      </c>
      <c r="AB177" t="s">
        <v>1642</v>
      </c>
      <c r="AC177" t="s">
        <v>1643</v>
      </c>
      <c r="AD177" s="75" t="s">
        <v>5158</v>
      </c>
      <c r="AE177" s="75" t="s">
        <v>5159</v>
      </c>
      <c r="AF177" s="75" t="s">
        <v>5168</v>
      </c>
      <c r="AG177" s="75" t="s">
        <v>5179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108"/>
        <v/>
      </c>
      <c r="E178" s="85"/>
      <c r="F178" s="80" t="str">
        <f t="shared" si="105"/>
        <v/>
      </c>
      <c r="G178" s="118"/>
      <c r="H178" s="80" t="str">
        <f t="shared" si="106"/>
        <v/>
      </c>
      <c r="I178" s="80" t="str">
        <f t="shared" si="107"/>
        <v/>
      </c>
      <c r="J178" s="117"/>
      <c r="K178" s="117"/>
      <c r="L178" s="117"/>
      <c r="M178" s="84"/>
      <c r="O178" s="75" t="str">
        <f t="shared" si="113"/>
        <v/>
      </c>
      <c r="P178" s="75" t="str">
        <f t="shared" si="114"/>
        <v/>
      </c>
      <c r="Q178" s="75" t="str">
        <f t="shared" si="115"/>
        <v/>
      </c>
      <c r="R178" s="75" t="str">
        <f t="shared" si="116"/>
        <v/>
      </c>
      <c r="V178" s="75">
        <v>4242</v>
      </c>
      <c r="W178" s="75" t="s">
        <v>139</v>
      </c>
      <c r="Y178" s="290" t="str">
        <f t="shared" si="117"/>
        <v>42</v>
      </c>
      <c r="Z178" s="75" t="str">
        <f t="shared" si="112"/>
        <v>424</v>
      </c>
      <c r="AB178" t="s">
        <v>1941</v>
      </c>
      <c r="AC178" t="s">
        <v>1942</v>
      </c>
      <c r="AD178" s="75" t="s">
        <v>5146</v>
      </c>
      <c r="AE178" s="75" t="s">
        <v>5147</v>
      </c>
      <c r="AF178" s="75" t="s">
        <v>5168</v>
      </c>
      <c r="AG178" s="75" t="s">
        <v>5178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108"/>
        <v/>
      </c>
      <c r="E179" s="85"/>
      <c r="F179" s="80" t="str">
        <f t="shared" si="105"/>
        <v/>
      </c>
      <c r="G179" s="118"/>
      <c r="H179" s="80" t="str">
        <f t="shared" si="106"/>
        <v/>
      </c>
      <c r="I179" s="80" t="str">
        <f t="shared" si="107"/>
        <v/>
      </c>
      <c r="J179" s="117"/>
      <c r="K179" s="117"/>
      <c r="L179" s="117"/>
      <c r="M179" s="84"/>
      <c r="O179" s="75" t="str">
        <f t="shared" si="113"/>
        <v/>
      </c>
      <c r="P179" s="75" t="str">
        <f t="shared" si="114"/>
        <v/>
      </c>
      <c r="Q179" s="75" t="str">
        <f t="shared" si="115"/>
        <v/>
      </c>
      <c r="R179" s="75" t="str">
        <f t="shared" si="116"/>
        <v/>
      </c>
      <c r="V179" s="75">
        <v>4244</v>
      </c>
      <c r="W179" s="75" t="s">
        <v>171</v>
      </c>
      <c r="Y179" s="290" t="str">
        <f t="shared" si="117"/>
        <v>42</v>
      </c>
      <c r="Z179" s="75" t="str">
        <f t="shared" si="112"/>
        <v>424</v>
      </c>
      <c r="AB179" t="s">
        <v>1644</v>
      </c>
      <c r="AC179" t="s">
        <v>1645</v>
      </c>
      <c r="AD179" s="75" t="s">
        <v>5144</v>
      </c>
      <c r="AE179" s="75" t="s">
        <v>5145</v>
      </c>
      <c r="AF179" s="75" t="s">
        <v>5170</v>
      </c>
      <c r="AG179" s="75" t="s">
        <v>5171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108"/>
        <v/>
      </c>
      <c r="E180" s="85"/>
      <c r="F180" s="80" t="str">
        <f t="shared" si="105"/>
        <v/>
      </c>
      <c r="G180" s="118"/>
      <c r="H180" s="80" t="str">
        <f t="shared" si="106"/>
        <v/>
      </c>
      <c r="I180" s="80" t="str">
        <f t="shared" si="107"/>
        <v/>
      </c>
      <c r="J180" s="117"/>
      <c r="K180" s="117"/>
      <c r="L180" s="117"/>
      <c r="M180" s="84"/>
      <c r="O180" s="75" t="str">
        <f t="shared" si="113"/>
        <v/>
      </c>
      <c r="P180" s="75" t="str">
        <f t="shared" si="114"/>
        <v/>
      </c>
      <c r="Q180" s="75" t="str">
        <f t="shared" si="115"/>
        <v/>
      </c>
      <c r="R180" s="75" t="str">
        <f t="shared" si="116"/>
        <v/>
      </c>
      <c r="V180" s="75">
        <v>4251</v>
      </c>
      <c r="W180" s="75" t="s">
        <v>163</v>
      </c>
      <c r="Y180" s="290" t="str">
        <f t="shared" si="117"/>
        <v>42</v>
      </c>
      <c r="Z180" s="75" t="str">
        <f t="shared" si="112"/>
        <v>425</v>
      </c>
      <c r="AB180" t="s">
        <v>961</v>
      </c>
      <c r="AC180" t="s">
        <v>962</v>
      </c>
      <c r="AD180" s="75" t="s">
        <v>5144</v>
      </c>
      <c r="AE180" s="75" t="s">
        <v>5145</v>
      </c>
      <c r="AF180" s="75" t="s">
        <v>5170</v>
      </c>
      <c r="AG180" s="75" t="s">
        <v>5171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108"/>
        <v/>
      </c>
      <c r="E181" s="85"/>
      <c r="F181" s="80" t="str">
        <f t="shared" si="105"/>
        <v/>
      </c>
      <c r="G181" s="118"/>
      <c r="H181" s="80" t="str">
        <f t="shared" si="106"/>
        <v/>
      </c>
      <c r="I181" s="80" t="str">
        <f t="shared" si="107"/>
        <v/>
      </c>
      <c r="J181" s="117"/>
      <c r="K181" s="117"/>
      <c r="L181" s="117"/>
      <c r="M181" s="84"/>
      <c r="O181" s="75" t="str">
        <f t="shared" si="113"/>
        <v/>
      </c>
      <c r="P181" s="75" t="str">
        <f t="shared" si="114"/>
        <v/>
      </c>
      <c r="Q181" s="75" t="str">
        <f t="shared" si="115"/>
        <v/>
      </c>
      <c r="R181" s="75" t="str">
        <f t="shared" si="116"/>
        <v/>
      </c>
      <c r="V181" s="75">
        <v>4252</v>
      </c>
      <c r="W181" s="75" t="s">
        <v>164</v>
      </c>
      <c r="Y181" s="290" t="str">
        <f t="shared" si="117"/>
        <v>42</v>
      </c>
      <c r="Z181" s="75" t="str">
        <f t="shared" si="112"/>
        <v>425</v>
      </c>
      <c r="AB181" t="s">
        <v>954</v>
      </c>
      <c r="AC181" t="s">
        <v>955</v>
      </c>
      <c r="AD181" s="75" t="s">
        <v>5146</v>
      </c>
      <c r="AE181" s="75" t="s">
        <v>5147</v>
      </c>
      <c r="AF181" s="75" t="s">
        <v>5168</v>
      </c>
      <c r="AG181" s="75" t="s">
        <v>5178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108"/>
        <v/>
      </c>
      <c r="E182" s="85"/>
      <c r="F182" s="80" t="str">
        <f t="shared" si="105"/>
        <v/>
      </c>
      <c r="G182" s="118"/>
      <c r="H182" s="80" t="str">
        <f t="shared" si="106"/>
        <v/>
      </c>
      <c r="I182" s="80" t="str">
        <f t="shared" si="107"/>
        <v/>
      </c>
      <c r="J182" s="117"/>
      <c r="K182" s="117"/>
      <c r="L182" s="117"/>
      <c r="M182" s="84"/>
      <c r="O182" s="75" t="str">
        <f t="shared" si="113"/>
        <v/>
      </c>
      <c r="P182" s="75" t="str">
        <f t="shared" si="114"/>
        <v/>
      </c>
      <c r="Q182" s="75" t="str">
        <f t="shared" si="115"/>
        <v/>
      </c>
      <c r="R182" s="75" t="str">
        <f t="shared" si="116"/>
        <v/>
      </c>
      <c r="V182" s="75">
        <v>4262</v>
      </c>
      <c r="W182" s="75" t="s">
        <v>108</v>
      </c>
      <c r="Y182" s="290" t="str">
        <f t="shared" si="117"/>
        <v>42</v>
      </c>
      <c r="Z182" s="75" t="str">
        <f t="shared" si="112"/>
        <v>426</v>
      </c>
      <c r="AB182" t="s">
        <v>1646</v>
      </c>
      <c r="AC182" t="s">
        <v>1647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108"/>
        <v/>
      </c>
      <c r="E183" s="85"/>
      <c r="F183" s="80" t="str">
        <f t="shared" si="105"/>
        <v/>
      </c>
      <c r="G183" s="118"/>
      <c r="H183" s="80" t="str">
        <f t="shared" si="106"/>
        <v/>
      </c>
      <c r="I183" s="80" t="str">
        <f t="shared" si="107"/>
        <v/>
      </c>
      <c r="J183" s="117"/>
      <c r="K183" s="117"/>
      <c r="L183" s="117"/>
      <c r="M183" s="84"/>
      <c r="O183" s="75" t="str">
        <f t="shared" si="113"/>
        <v/>
      </c>
      <c r="P183" s="75" t="str">
        <f t="shared" si="114"/>
        <v/>
      </c>
      <c r="Q183" s="75" t="str">
        <f t="shared" si="115"/>
        <v/>
      </c>
      <c r="R183" s="75" t="str">
        <f t="shared" si="116"/>
        <v/>
      </c>
      <c r="V183" s="75">
        <v>4263</v>
      </c>
      <c r="W183" s="75" t="s">
        <v>165</v>
      </c>
      <c r="Y183" s="290" t="str">
        <f t="shared" si="117"/>
        <v>42</v>
      </c>
      <c r="Z183" s="75" t="str">
        <f t="shared" si="112"/>
        <v>426</v>
      </c>
      <c r="AB183" t="s">
        <v>1700</v>
      </c>
      <c r="AC183" t="s">
        <v>1701</v>
      </c>
      <c r="AD183" s="75" t="s">
        <v>5144</v>
      </c>
      <c r="AE183" s="75" t="s">
        <v>5145</v>
      </c>
      <c r="AF183" s="75" t="s">
        <v>5170</v>
      </c>
      <c r="AG183" s="75" t="s">
        <v>5171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108"/>
        <v/>
      </c>
      <c r="E184" s="85"/>
      <c r="F184" s="80" t="str">
        <f t="shared" si="105"/>
        <v/>
      </c>
      <c r="G184" s="118"/>
      <c r="H184" s="80" t="str">
        <f t="shared" si="106"/>
        <v/>
      </c>
      <c r="I184" s="80" t="str">
        <f t="shared" si="107"/>
        <v/>
      </c>
      <c r="J184" s="117"/>
      <c r="K184" s="117"/>
      <c r="L184" s="117"/>
      <c r="M184" s="84"/>
      <c r="O184" s="75" t="str">
        <f t="shared" si="113"/>
        <v/>
      </c>
      <c r="P184" s="75" t="str">
        <f t="shared" si="114"/>
        <v/>
      </c>
      <c r="Q184" s="75" t="str">
        <f t="shared" si="115"/>
        <v/>
      </c>
      <c r="R184" s="75" t="str">
        <f t="shared" si="116"/>
        <v/>
      </c>
      <c r="V184" s="75">
        <v>4264</v>
      </c>
      <c r="W184" s="75" t="s">
        <v>120</v>
      </c>
      <c r="Y184" s="290" t="str">
        <f t="shared" si="117"/>
        <v>42</v>
      </c>
      <c r="Z184" s="75" t="str">
        <f t="shared" si="112"/>
        <v>426</v>
      </c>
      <c r="AB184" t="s">
        <v>1943</v>
      </c>
      <c r="AC184" t="s">
        <v>1944</v>
      </c>
      <c r="AD184" s="75" t="s">
        <v>5146</v>
      </c>
      <c r="AE184" s="75" t="s">
        <v>5147</v>
      </c>
      <c r="AF184" s="75" t="s">
        <v>5168</v>
      </c>
      <c r="AG184" s="75" t="s">
        <v>5178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108"/>
        <v/>
      </c>
      <c r="E185" s="85"/>
      <c r="F185" s="80" t="str">
        <f t="shared" si="105"/>
        <v/>
      </c>
      <c r="G185" s="118"/>
      <c r="H185" s="80" t="str">
        <f t="shared" si="106"/>
        <v/>
      </c>
      <c r="I185" s="80" t="str">
        <f t="shared" si="107"/>
        <v/>
      </c>
      <c r="J185" s="117"/>
      <c r="K185" s="117"/>
      <c r="L185" s="117"/>
      <c r="M185" s="84"/>
      <c r="O185" s="75" t="str">
        <f t="shared" si="113"/>
        <v/>
      </c>
      <c r="P185" s="75" t="str">
        <f t="shared" si="114"/>
        <v/>
      </c>
      <c r="Q185" s="75" t="str">
        <f t="shared" si="115"/>
        <v/>
      </c>
      <c r="R185" s="75" t="str">
        <f t="shared" si="116"/>
        <v/>
      </c>
      <c r="V185" s="75">
        <v>4312</v>
      </c>
      <c r="W185" s="75" t="s">
        <v>122</v>
      </c>
      <c r="Y185" s="290" t="str">
        <f t="shared" si="117"/>
        <v>43</v>
      </c>
      <c r="Z185" s="75" t="str">
        <f t="shared" si="112"/>
        <v>431</v>
      </c>
      <c r="AB185" t="s">
        <v>1945</v>
      </c>
      <c r="AC185" t="s">
        <v>1946</v>
      </c>
      <c r="AD185" s="75" t="s">
        <v>5146</v>
      </c>
      <c r="AE185" s="75" t="s">
        <v>5147</v>
      </c>
      <c r="AF185" s="75" t="s">
        <v>5168</v>
      </c>
      <c r="AG185" s="75" t="s">
        <v>5178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108"/>
        <v/>
      </c>
      <c r="E186" s="85"/>
      <c r="F186" s="80" t="str">
        <f t="shared" si="105"/>
        <v/>
      </c>
      <c r="G186" s="118"/>
      <c r="H186" s="80" t="str">
        <f t="shared" si="106"/>
        <v/>
      </c>
      <c r="I186" s="80" t="str">
        <f t="shared" si="107"/>
        <v/>
      </c>
      <c r="J186" s="117"/>
      <c r="K186" s="117"/>
      <c r="L186" s="117"/>
      <c r="M186" s="84"/>
      <c r="O186" s="75" t="str">
        <f t="shared" si="113"/>
        <v/>
      </c>
      <c r="P186" s="75" t="str">
        <f t="shared" si="114"/>
        <v/>
      </c>
      <c r="Q186" s="75" t="str">
        <f t="shared" si="115"/>
        <v/>
      </c>
      <c r="R186" s="75" t="str">
        <f t="shared" si="116"/>
        <v/>
      </c>
      <c r="V186" s="75">
        <v>4411</v>
      </c>
      <c r="W186" s="75" t="s">
        <v>166</v>
      </c>
      <c r="Y186" s="290" t="str">
        <f t="shared" si="117"/>
        <v>44</v>
      </c>
      <c r="Z186" s="75" t="str">
        <f t="shared" si="112"/>
        <v>441</v>
      </c>
      <c r="AB186" t="s">
        <v>1947</v>
      </c>
      <c r="AC186" t="s">
        <v>1948</v>
      </c>
      <c r="AD186" s="75" t="s">
        <v>5146</v>
      </c>
      <c r="AE186" s="75" t="s">
        <v>5147</v>
      </c>
      <c r="AF186" s="75" t="s">
        <v>5168</v>
      </c>
      <c r="AG186" s="75" t="s">
        <v>5178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108"/>
        <v/>
      </c>
      <c r="E187" s="85"/>
      <c r="F187" s="80" t="str">
        <f t="shared" si="105"/>
        <v/>
      </c>
      <c r="G187" s="118"/>
      <c r="H187" s="80" t="str">
        <f t="shared" si="106"/>
        <v/>
      </c>
      <c r="I187" s="80" t="str">
        <f t="shared" si="107"/>
        <v/>
      </c>
      <c r="J187" s="117"/>
      <c r="K187" s="117"/>
      <c r="L187" s="117"/>
      <c r="M187" s="84"/>
      <c r="O187" s="75" t="str">
        <f t="shared" si="113"/>
        <v/>
      </c>
      <c r="P187" s="75" t="str">
        <f t="shared" si="114"/>
        <v/>
      </c>
      <c r="Q187" s="75" t="str">
        <f t="shared" si="115"/>
        <v/>
      </c>
      <c r="R187" s="75" t="str">
        <f t="shared" si="116"/>
        <v/>
      </c>
      <c r="V187" s="75">
        <v>4511</v>
      </c>
      <c r="W187" s="75" t="s">
        <v>121</v>
      </c>
      <c r="Y187" s="290" t="str">
        <f t="shared" si="117"/>
        <v>45</v>
      </c>
      <c r="Z187" s="75" t="str">
        <f t="shared" si="112"/>
        <v>451</v>
      </c>
      <c r="AB187" t="s">
        <v>1648</v>
      </c>
      <c r="AC187" t="s">
        <v>1649</v>
      </c>
      <c r="AD187" s="75" t="s">
        <v>5146</v>
      </c>
      <c r="AE187" s="75" t="s">
        <v>5147</v>
      </c>
      <c r="AF187" s="75" t="s">
        <v>5168</v>
      </c>
      <c r="AG187" s="75" t="s">
        <v>5178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108"/>
        <v/>
      </c>
      <c r="E188" s="85"/>
      <c r="F188" s="80" t="str">
        <f t="shared" si="105"/>
        <v/>
      </c>
      <c r="G188" s="118"/>
      <c r="H188" s="80" t="str">
        <f t="shared" si="106"/>
        <v/>
      </c>
      <c r="I188" s="80" t="str">
        <f t="shared" si="107"/>
        <v/>
      </c>
      <c r="J188" s="117"/>
      <c r="K188" s="117"/>
      <c r="L188" s="117"/>
      <c r="M188" s="84"/>
      <c r="O188" s="75" t="str">
        <f t="shared" si="113"/>
        <v/>
      </c>
      <c r="P188" s="75" t="str">
        <f t="shared" si="114"/>
        <v/>
      </c>
      <c r="Q188" s="75" t="str">
        <f t="shared" si="115"/>
        <v/>
      </c>
      <c r="R188" s="75" t="str">
        <f t="shared" si="116"/>
        <v/>
      </c>
      <c r="V188" s="75">
        <v>4521</v>
      </c>
      <c r="W188" s="75" t="s">
        <v>140</v>
      </c>
      <c r="Y188" s="290" t="str">
        <f t="shared" si="117"/>
        <v>45</v>
      </c>
      <c r="Z188" s="75" t="str">
        <f t="shared" si="112"/>
        <v>452</v>
      </c>
      <c r="AB188" t="s">
        <v>1708</v>
      </c>
      <c r="AC188" t="s">
        <v>1949</v>
      </c>
      <c r="AD188" s="75" t="s">
        <v>5146</v>
      </c>
      <c r="AE188" s="75" t="s">
        <v>5147</v>
      </c>
      <c r="AF188" s="75" t="s">
        <v>5168</v>
      </c>
      <c r="AG188" s="75" t="s">
        <v>5178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108"/>
        <v/>
      </c>
      <c r="E189" s="85"/>
      <c r="F189" s="80" t="str">
        <f t="shared" si="105"/>
        <v/>
      </c>
      <c r="G189" s="118"/>
      <c r="H189" s="80" t="str">
        <f t="shared" si="106"/>
        <v/>
      </c>
      <c r="I189" s="80" t="str">
        <f t="shared" si="107"/>
        <v/>
      </c>
      <c r="J189" s="117"/>
      <c r="K189" s="117"/>
      <c r="L189" s="117"/>
      <c r="M189" s="84"/>
      <c r="O189" s="75" t="str">
        <f t="shared" si="113"/>
        <v/>
      </c>
      <c r="P189" s="75" t="str">
        <f t="shared" si="114"/>
        <v/>
      </c>
      <c r="Q189" s="75" t="str">
        <f t="shared" si="115"/>
        <v/>
      </c>
      <c r="R189" s="75" t="str">
        <f t="shared" si="116"/>
        <v/>
      </c>
      <c r="V189" s="75">
        <v>4531</v>
      </c>
      <c r="W189" s="75" t="s">
        <v>183</v>
      </c>
      <c r="Y189" s="290" t="str">
        <f t="shared" si="117"/>
        <v>45</v>
      </c>
      <c r="Z189" s="75" t="str">
        <f t="shared" si="112"/>
        <v>453</v>
      </c>
      <c r="AB189" t="s">
        <v>1950</v>
      </c>
      <c r="AC189" t="s">
        <v>1951</v>
      </c>
      <c r="AD189" s="75" t="s">
        <v>5146</v>
      </c>
      <c r="AE189" s="75" t="s">
        <v>5147</v>
      </c>
      <c r="AF189" s="75" t="s">
        <v>5168</v>
      </c>
      <c r="AG189" s="75" t="s">
        <v>5178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108"/>
        <v/>
      </c>
      <c r="E190" s="85"/>
      <c r="F190" s="80" t="str">
        <f t="shared" si="105"/>
        <v/>
      </c>
      <c r="G190" s="118"/>
      <c r="H190" s="80" t="str">
        <f t="shared" si="106"/>
        <v/>
      </c>
      <c r="I190" s="80" t="str">
        <f t="shared" si="107"/>
        <v/>
      </c>
      <c r="J190" s="117"/>
      <c r="K190" s="117"/>
      <c r="L190" s="117"/>
      <c r="M190" s="84"/>
      <c r="O190" s="75" t="str">
        <f t="shared" si="113"/>
        <v/>
      </c>
      <c r="P190" s="75" t="str">
        <f t="shared" si="114"/>
        <v/>
      </c>
      <c r="Q190" s="75" t="str">
        <f t="shared" si="115"/>
        <v/>
      </c>
      <c r="R190" s="75" t="str">
        <f t="shared" si="116"/>
        <v/>
      </c>
      <c r="V190" s="75">
        <v>4541</v>
      </c>
      <c r="W190" s="75" t="s">
        <v>135</v>
      </c>
      <c r="Y190" s="290" t="str">
        <f t="shared" si="117"/>
        <v>45</v>
      </c>
      <c r="Z190" s="75" t="str">
        <f t="shared" si="112"/>
        <v>454</v>
      </c>
      <c r="AB190" t="s">
        <v>3468</v>
      </c>
      <c r="AC190" t="s">
        <v>3469</v>
      </c>
      <c r="AD190" s="75" t="s">
        <v>5144</v>
      </c>
      <c r="AE190" s="75" t="s">
        <v>5145</v>
      </c>
      <c r="AF190" s="75" t="s">
        <v>5170</v>
      </c>
      <c r="AG190" s="75" t="s">
        <v>5171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108"/>
        <v/>
      </c>
      <c r="E191" s="85"/>
      <c r="F191" s="80" t="str">
        <f t="shared" si="105"/>
        <v/>
      </c>
      <c r="G191" s="118"/>
      <c r="H191" s="80" t="str">
        <f t="shared" si="106"/>
        <v/>
      </c>
      <c r="I191" s="80" t="str">
        <f t="shared" si="107"/>
        <v/>
      </c>
      <c r="J191" s="117"/>
      <c r="K191" s="117"/>
      <c r="L191" s="117"/>
      <c r="M191" s="84"/>
      <c r="O191" s="75" t="str">
        <f t="shared" si="113"/>
        <v/>
      </c>
      <c r="P191" s="75" t="str">
        <f t="shared" si="114"/>
        <v/>
      </c>
      <c r="Q191" s="75" t="str">
        <f t="shared" si="115"/>
        <v/>
      </c>
      <c r="R191" s="75" t="str">
        <f t="shared" si="116"/>
        <v/>
      </c>
      <c r="V191" s="75">
        <v>5121</v>
      </c>
      <c r="W191" s="75" t="s">
        <v>191</v>
      </c>
      <c r="Y191" s="290" t="str">
        <f t="shared" si="117"/>
        <v>51</v>
      </c>
      <c r="Z191" s="75" t="str">
        <f t="shared" si="112"/>
        <v>512</v>
      </c>
      <c r="AB191" t="s">
        <v>1952</v>
      </c>
      <c r="AC191" t="s">
        <v>1953</v>
      </c>
      <c r="AD191" s="75" t="s">
        <v>5142</v>
      </c>
      <c r="AE191" s="75" t="s">
        <v>5143</v>
      </c>
      <c r="AF191" s="75" t="s">
        <v>5168</v>
      </c>
      <c r="AG191" s="75" t="s">
        <v>5175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108"/>
        <v/>
      </c>
      <c r="E192" s="85"/>
      <c r="F192" s="80" t="str">
        <f t="shared" si="105"/>
        <v/>
      </c>
      <c r="G192" s="118"/>
      <c r="H192" s="80" t="str">
        <f t="shared" si="106"/>
        <v/>
      </c>
      <c r="I192" s="80" t="str">
        <f t="shared" si="107"/>
        <v/>
      </c>
      <c r="J192" s="117"/>
      <c r="K192" s="117"/>
      <c r="L192" s="117"/>
      <c r="M192" s="84"/>
      <c r="O192" s="75" t="str">
        <f t="shared" si="113"/>
        <v/>
      </c>
      <c r="P192" s="75" t="str">
        <f t="shared" si="114"/>
        <v/>
      </c>
      <c r="Q192" s="75" t="str">
        <f t="shared" si="115"/>
        <v/>
      </c>
      <c r="R192" s="75" t="str">
        <f t="shared" si="116"/>
        <v/>
      </c>
      <c r="V192" s="75">
        <v>5443</v>
      </c>
      <c r="W192" s="75" t="s">
        <v>167</v>
      </c>
      <c r="Y192" s="290" t="str">
        <f t="shared" si="117"/>
        <v>54</v>
      </c>
      <c r="Z192" s="75" t="str">
        <f t="shared" si="112"/>
        <v>544</v>
      </c>
      <c r="AB192" t="s">
        <v>1650</v>
      </c>
      <c r="AC192" t="s">
        <v>1651</v>
      </c>
      <c r="AD192" s="75" t="s">
        <v>5146</v>
      </c>
      <c r="AE192" s="75" t="s">
        <v>5147</v>
      </c>
      <c r="AF192" s="75" t="s">
        <v>5168</v>
      </c>
      <c r="AG192" s="75" t="s">
        <v>5178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108"/>
        <v/>
      </c>
      <c r="E193" s="85"/>
      <c r="F193" s="80" t="str">
        <f t="shared" si="105"/>
        <v/>
      </c>
      <c r="G193" s="118"/>
      <c r="H193" s="80" t="str">
        <f t="shared" si="106"/>
        <v/>
      </c>
      <c r="I193" s="80" t="str">
        <f t="shared" si="107"/>
        <v/>
      </c>
      <c r="J193" s="117"/>
      <c r="K193" s="117"/>
      <c r="L193" s="117"/>
      <c r="M193" s="84"/>
      <c r="O193" s="75" t="str">
        <f t="shared" si="113"/>
        <v/>
      </c>
      <c r="P193" s="75" t="str">
        <f t="shared" si="114"/>
        <v/>
      </c>
      <c r="Q193" s="75" t="str">
        <f t="shared" si="115"/>
        <v/>
      </c>
      <c r="R193" s="75" t="str">
        <f t="shared" si="116"/>
        <v/>
      </c>
      <c r="V193" s="75">
        <v>5121</v>
      </c>
      <c r="W193" s="75" t="s">
        <v>639</v>
      </c>
      <c r="Y193" s="290" t="str">
        <f t="shared" si="117"/>
        <v>51</v>
      </c>
      <c r="Z193" s="75" t="str">
        <f t="shared" ref="Z193:Z203" si="118">LEFT(V193,3)</f>
        <v>512</v>
      </c>
      <c r="AB193" t="s">
        <v>1954</v>
      </c>
      <c r="AC193" t="s">
        <v>1955</v>
      </c>
      <c r="AD193" s="75" t="s">
        <v>5146</v>
      </c>
      <c r="AE193" s="75" t="s">
        <v>5147</v>
      </c>
      <c r="AF193" s="75" t="s">
        <v>5168</v>
      </c>
      <c r="AG193" s="75" t="s">
        <v>5178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108"/>
        <v/>
      </c>
      <c r="E194" s="85"/>
      <c r="F194" s="80" t="str">
        <f t="shared" si="105"/>
        <v/>
      </c>
      <c r="G194" s="118"/>
      <c r="H194" s="80" t="str">
        <f t="shared" si="106"/>
        <v/>
      </c>
      <c r="I194" s="80" t="str">
        <f t="shared" si="107"/>
        <v/>
      </c>
      <c r="J194" s="117"/>
      <c r="K194" s="117"/>
      <c r="L194" s="117"/>
      <c r="M194" s="84"/>
      <c r="O194" s="75" t="str">
        <f t="shared" si="113"/>
        <v/>
      </c>
      <c r="P194" s="75" t="str">
        <f t="shared" si="114"/>
        <v/>
      </c>
      <c r="Q194" s="75" t="str">
        <f t="shared" si="115"/>
        <v/>
      </c>
      <c r="R194" s="75" t="str">
        <f t="shared" si="116"/>
        <v/>
      </c>
      <c r="V194" s="75">
        <v>5122</v>
      </c>
      <c r="W194" s="75" t="s">
        <v>640</v>
      </c>
      <c r="Y194" s="290" t="str">
        <f t="shared" si="117"/>
        <v>51</v>
      </c>
      <c r="Z194" s="75" t="str">
        <f t="shared" si="118"/>
        <v>512</v>
      </c>
      <c r="AB194" t="s">
        <v>1956</v>
      </c>
      <c r="AC194" t="s">
        <v>1957</v>
      </c>
      <c r="AD194" s="75" t="s">
        <v>5144</v>
      </c>
      <c r="AE194" s="75" t="s">
        <v>5145</v>
      </c>
      <c r="AF194" s="75" t="s">
        <v>5170</v>
      </c>
      <c r="AG194" s="75" t="s">
        <v>5171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108"/>
        <v/>
      </c>
      <c r="E195" s="85"/>
      <c r="F195" s="80" t="str">
        <f t="shared" si="105"/>
        <v/>
      </c>
      <c r="G195" s="118"/>
      <c r="H195" s="80" t="str">
        <f t="shared" si="106"/>
        <v/>
      </c>
      <c r="I195" s="80" t="str">
        <f t="shared" si="107"/>
        <v/>
      </c>
      <c r="J195" s="117"/>
      <c r="K195" s="117"/>
      <c r="L195" s="117"/>
      <c r="M195" s="84"/>
      <c r="O195" s="75" t="str">
        <f t="shared" si="113"/>
        <v/>
      </c>
      <c r="P195" s="75" t="str">
        <f t="shared" si="114"/>
        <v/>
      </c>
      <c r="Q195" s="75" t="str">
        <f t="shared" si="115"/>
        <v/>
      </c>
      <c r="R195" s="75" t="str">
        <f t="shared" si="116"/>
        <v/>
      </c>
      <c r="V195" s="75">
        <v>5141</v>
      </c>
      <c r="W195" s="75" t="s">
        <v>641</v>
      </c>
      <c r="Y195" s="290" t="str">
        <f t="shared" si="117"/>
        <v>51</v>
      </c>
      <c r="Z195" s="75" t="str">
        <f t="shared" si="118"/>
        <v>514</v>
      </c>
      <c r="AB195" t="s">
        <v>1974</v>
      </c>
      <c r="AC195" t="s">
        <v>1975</v>
      </c>
      <c r="AD195" s="75" t="s">
        <v>5142</v>
      </c>
      <c r="AE195" s="75" t="s">
        <v>5143</v>
      </c>
      <c r="AF195" s="75" t="s">
        <v>5168</v>
      </c>
      <c r="AG195" s="75" t="s">
        <v>5175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108"/>
        <v/>
      </c>
      <c r="E196" s="85"/>
      <c r="F196" s="80" t="str">
        <f t="shared" si="105"/>
        <v/>
      </c>
      <c r="G196" s="118"/>
      <c r="H196" s="80" t="str">
        <f t="shared" si="106"/>
        <v/>
      </c>
      <c r="I196" s="80" t="str">
        <f t="shared" si="107"/>
        <v/>
      </c>
      <c r="J196" s="117"/>
      <c r="K196" s="117"/>
      <c r="L196" s="117"/>
      <c r="M196" s="84"/>
      <c r="O196" s="75" t="str">
        <f t="shared" si="113"/>
        <v/>
      </c>
      <c r="P196" s="75" t="str">
        <f t="shared" si="114"/>
        <v/>
      </c>
      <c r="Q196" s="75" t="str">
        <f t="shared" si="115"/>
        <v/>
      </c>
      <c r="R196" s="75" t="str">
        <f t="shared" si="116"/>
        <v/>
      </c>
      <c r="V196" s="75">
        <v>5181</v>
      </c>
      <c r="W196" s="75" t="s">
        <v>642</v>
      </c>
      <c r="Y196" s="290" t="str">
        <f t="shared" si="117"/>
        <v>51</v>
      </c>
      <c r="Z196" s="75" t="str">
        <f t="shared" si="118"/>
        <v>518</v>
      </c>
      <c r="AB196" t="s">
        <v>1976</v>
      </c>
      <c r="AC196" t="s">
        <v>1977</v>
      </c>
      <c r="AD196" s="75" t="s">
        <v>5158</v>
      </c>
      <c r="AE196" s="75" t="s">
        <v>5159</v>
      </c>
      <c r="AF196" s="75" t="s">
        <v>5168</v>
      </c>
      <c r="AG196" s="75" t="s">
        <v>5179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108"/>
        <v/>
      </c>
      <c r="E197" s="85"/>
      <c r="F197" s="80" t="str">
        <f t="shared" ref="F197:F260" si="119">IFERROR(VLOOKUP(E197,$V$5:$X$203,2,FALSE),"")</f>
        <v/>
      </c>
      <c r="G197" s="118"/>
      <c r="H197" s="80" t="str">
        <f t="shared" ref="H197:H260" si="120">IFERROR(VLOOKUP(G197,$AB$7:$AC$401,2,FALSE),"")</f>
        <v/>
      </c>
      <c r="I197" s="80" t="str">
        <f t="shared" ref="I197:I260" si="121">IFERROR(VLOOKUP(G197,$AB$7:$AF$401,3,FALSE),"")</f>
        <v/>
      </c>
      <c r="J197" s="117"/>
      <c r="K197" s="117"/>
      <c r="L197" s="117"/>
      <c r="M197" s="84"/>
      <c r="O197" s="75" t="str">
        <f t="shared" si="113"/>
        <v/>
      </c>
      <c r="P197" s="75" t="str">
        <f t="shared" si="114"/>
        <v/>
      </c>
      <c r="Q197" s="75" t="str">
        <f t="shared" si="115"/>
        <v/>
      </c>
      <c r="R197" s="75" t="str">
        <f t="shared" si="116"/>
        <v/>
      </c>
      <c r="V197" s="75">
        <v>5183</v>
      </c>
      <c r="W197" s="75" t="s">
        <v>643</v>
      </c>
      <c r="Y197" s="290" t="str">
        <f t="shared" si="117"/>
        <v>51</v>
      </c>
      <c r="Z197" s="75" t="str">
        <f t="shared" si="118"/>
        <v>518</v>
      </c>
      <c r="AB197" t="s">
        <v>1978</v>
      </c>
      <c r="AC197" t="s">
        <v>1979</v>
      </c>
      <c r="AD197" s="75" t="s">
        <v>5148</v>
      </c>
      <c r="AE197" s="75" t="s">
        <v>5149</v>
      </c>
      <c r="AF197" s="75" t="s">
        <v>5168</v>
      </c>
      <c r="AG197" s="75" t="s">
        <v>5177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108"/>
        <v/>
      </c>
      <c r="E198" s="85"/>
      <c r="F198" s="80" t="str">
        <f t="shared" si="119"/>
        <v/>
      </c>
      <c r="G198" s="118"/>
      <c r="H198" s="80" t="str">
        <f t="shared" si="120"/>
        <v/>
      </c>
      <c r="I198" s="80" t="str">
        <f t="shared" si="121"/>
        <v/>
      </c>
      <c r="J198" s="117"/>
      <c r="K198" s="117"/>
      <c r="L198" s="117"/>
      <c r="M198" s="84"/>
      <c r="O198" s="75" t="str">
        <f t="shared" si="113"/>
        <v/>
      </c>
      <c r="P198" s="75" t="str">
        <f t="shared" si="114"/>
        <v/>
      </c>
      <c r="Q198" s="75" t="str">
        <f t="shared" si="115"/>
        <v/>
      </c>
      <c r="R198" s="75" t="str">
        <f t="shared" si="116"/>
        <v/>
      </c>
      <c r="V198" s="75">
        <v>5422</v>
      </c>
      <c r="W198" s="75" t="s">
        <v>644</v>
      </c>
      <c r="Y198" s="290" t="str">
        <f t="shared" si="117"/>
        <v>54</v>
      </c>
      <c r="Z198" s="75" t="str">
        <f t="shared" si="118"/>
        <v>542</v>
      </c>
      <c r="AB198" t="s">
        <v>1980</v>
      </c>
      <c r="AC198" t="s">
        <v>1981</v>
      </c>
      <c r="AD198" s="75" t="s">
        <v>5154</v>
      </c>
      <c r="AE198" s="75" t="s">
        <v>5155</v>
      </c>
      <c r="AF198" s="75" t="s">
        <v>5168</v>
      </c>
      <c r="AG198" s="75" t="s">
        <v>5175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108"/>
        <v/>
      </c>
      <c r="E199" s="85"/>
      <c r="F199" s="80" t="str">
        <f t="shared" si="119"/>
        <v/>
      </c>
      <c r="G199" s="118"/>
      <c r="H199" s="80" t="str">
        <f t="shared" si="120"/>
        <v/>
      </c>
      <c r="I199" s="80" t="str">
        <f t="shared" si="121"/>
        <v/>
      </c>
      <c r="J199" s="117"/>
      <c r="K199" s="117"/>
      <c r="L199" s="117"/>
      <c r="M199" s="84"/>
      <c r="O199" s="75" t="str">
        <f t="shared" si="113"/>
        <v/>
      </c>
      <c r="P199" s="75" t="str">
        <f t="shared" si="114"/>
        <v/>
      </c>
      <c r="Q199" s="75" t="str">
        <f t="shared" si="115"/>
        <v/>
      </c>
      <c r="R199" s="75" t="str">
        <f t="shared" si="116"/>
        <v/>
      </c>
      <c r="V199" s="75">
        <v>5431</v>
      </c>
      <c r="W199" s="75" t="s">
        <v>264</v>
      </c>
      <c r="Y199" s="290" t="str">
        <f t="shared" si="117"/>
        <v>54</v>
      </c>
      <c r="Z199" s="75" t="str">
        <f t="shared" si="118"/>
        <v>543</v>
      </c>
      <c r="AB199" t="s">
        <v>963</v>
      </c>
      <c r="AC199" t="s">
        <v>1652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108"/>
        <v/>
      </c>
      <c r="E200" s="85"/>
      <c r="F200" s="80" t="str">
        <f t="shared" si="119"/>
        <v/>
      </c>
      <c r="G200" s="118"/>
      <c r="H200" s="80" t="str">
        <f t="shared" si="120"/>
        <v/>
      </c>
      <c r="I200" s="80" t="str">
        <f t="shared" si="121"/>
        <v/>
      </c>
      <c r="J200" s="117"/>
      <c r="K200" s="117"/>
      <c r="L200" s="117"/>
      <c r="M200" s="84"/>
      <c r="O200" s="75" t="str">
        <f t="shared" si="113"/>
        <v/>
      </c>
      <c r="P200" s="75" t="str">
        <f t="shared" si="114"/>
        <v/>
      </c>
      <c r="Q200" s="75" t="str">
        <f t="shared" si="115"/>
        <v/>
      </c>
      <c r="R200" s="75" t="str">
        <f t="shared" si="116"/>
        <v/>
      </c>
      <c r="V200" s="75">
        <v>5443</v>
      </c>
      <c r="W200" s="75" t="s">
        <v>645</v>
      </c>
      <c r="Y200" s="290" t="str">
        <f t="shared" si="117"/>
        <v>54</v>
      </c>
      <c r="Z200" s="75" t="str">
        <f t="shared" si="118"/>
        <v>544</v>
      </c>
      <c r="AB200" t="s">
        <v>1982</v>
      </c>
      <c r="AC200" t="s">
        <v>3470</v>
      </c>
      <c r="AD200" s="75" t="s">
        <v>5146</v>
      </c>
      <c r="AE200" s="75" t="s">
        <v>5147</v>
      </c>
      <c r="AF200" s="75" t="s">
        <v>5168</v>
      </c>
      <c r="AG200" s="75" t="s">
        <v>5178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108"/>
        <v/>
      </c>
      <c r="E201" s="85"/>
      <c r="F201" s="80" t="str">
        <f t="shared" si="119"/>
        <v/>
      </c>
      <c r="G201" s="118"/>
      <c r="H201" s="80" t="str">
        <f t="shared" si="120"/>
        <v/>
      </c>
      <c r="I201" s="80" t="str">
        <f t="shared" si="121"/>
        <v/>
      </c>
      <c r="J201" s="117"/>
      <c r="K201" s="117"/>
      <c r="L201" s="117"/>
      <c r="M201" s="84"/>
      <c r="O201" s="75" t="str">
        <f t="shared" si="113"/>
        <v/>
      </c>
      <c r="P201" s="75" t="str">
        <f t="shared" si="114"/>
        <v/>
      </c>
      <c r="Q201" s="75" t="str">
        <f t="shared" si="115"/>
        <v/>
      </c>
      <c r="R201" s="75" t="str">
        <f t="shared" si="116"/>
        <v/>
      </c>
      <c r="V201" s="75">
        <v>5445</v>
      </c>
      <c r="W201" s="75" t="s">
        <v>646</v>
      </c>
      <c r="Y201" s="290" t="str">
        <f t="shared" si="117"/>
        <v>54</v>
      </c>
      <c r="Z201" s="75" t="str">
        <f t="shared" si="118"/>
        <v>544</v>
      </c>
      <c r="AB201" t="s">
        <v>1983</v>
      </c>
      <c r="AC201" t="s">
        <v>1984</v>
      </c>
      <c r="AD201" s="75" t="s">
        <v>5142</v>
      </c>
      <c r="AE201" s="75" t="s">
        <v>5143</v>
      </c>
      <c r="AF201" s="75" t="s">
        <v>5168</v>
      </c>
      <c r="AG201" s="75" t="s">
        <v>5175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108"/>
        <v/>
      </c>
      <c r="E202" s="85"/>
      <c r="F202" s="80" t="str">
        <f t="shared" si="119"/>
        <v/>
      </c>
      <c r="G202" s="118"/>
      <c r="H202" s="80" t="str">
        <f t="shared" si="120"/>
        <v/>
      </c>
      <c r="I202" s="80" t="str">
        <f t="shared" si="121"/>
        <v/>
      </c>
      <c r="J202" s="117"/>
      <c r="K202" s="117"/>
      <c r="L202" s="117"/>
      <c r="M202" s="84"/>
      <c r="O202" s="75" t="str">
        <f t="shared" si="113"/>
        <v/>
      </c>
      <c r="P202" s="75" t="str">
        <f t="shared" si="114"/>
        <v/>
      </c>
      <c r="Q202" s="75" t="str">
        <f t="shared" si="115"/>
        <v/>
      </c>
      <c r="R202" s="75" t="str">
        <f t="shared" si="116"/>
        <v/>
      </c>
      <c r="V202" s="75">
        <v>5453</v>
      </c>
      <c r="W202" s="75" t="s">
        <v>647</v>
      </c>
      <c r="Y202" s="290" t="str">
        <f t="shared" si="117"/>
        <v>54</v>
      </c>
      <c r="Z202" s="75" t="str">
        <f t="shared" si="118"/>
        <v>545</v>
      </c>
      <c r="AB202" t="s">
        <v>1985</v>
      </c>
      <c r="AC202" t="s">
        <v>3471</v>
      </c>
      <c r="AD202" s="75" t="s">
        <v>5158</v>
      </c>
      <c r="AE202" s="75" t="s">
        <v>5159</v>
      </c>
      <c r="AF202" s="75" t="s">
        <v>5168</v>
      </c>
      <c r="AG202" s="75" t="s">
        <v>5179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ref="D203:D266" si="122">IFERROR(VLOOKUP(C203,$S$7:$T$48,2,FALSE),"")</f>
        <v/>
      </c>
      <c r="E203" s="85"/>
      <c r="F203" s="80" t="str">
        <f t="shared" si="119"/>
        <v/>
      </c>
      <c r="G203" s="118"/>
      <c r="H203" s="80" t="str">
        <f t="shared" si="120"/>
        <v/>
      </c>
      <c r="I203" s="80" t="str">
        <f t="shared" si="121"/>
        <v/>
      </c>
      <c r="J203" s="117"/>
      <c r="K203" s="117"/>
      <c r="L203" s="117"/>
      <c r="M203" s="84"/>
      <c r="O203" s="75" t="str">
        <f t="shared" si="113"/>
        <v/>
      </c>
      <c r="P203" s="75" t="str">
        <f t="shared" si="114"/>
        <v/>
      </c>
      <c r="Q203" s="75" t="str">
        <f t="shared" si="115"/>
        <v/>
      </c>
      <c r="R203" s="75" t="str">
        <f t="shared" si="116"/>
        <v/>
      </c>
      <c r="V203" s="75">
        <v>5472</v>
      </c>
      <c r="W203" s="75" t="s">
        <v>648</v>
      </c>
      <c r="Y203" s="290" t="str">
        <f t="shared" si="117"/>
        <v>54</v>
      </c>
      <c r="Z203" s="75" t="str">
        <f t="shared" si="118"/>
        <v>547</v>
      </c>
      <c r="AB203" t="s">
        <v>3472</v>
      </c>
      <c r="AC203" t="s">
        <v>3473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122"/>
        <v/>
      </c>
      <c r="E204" s="85"/>
      <c r="F204" s="80" t="str">
        <f t="shared" si="119"/>
        <v/>
      </c>
      <c r="G204" s="118"/>
      <c r="H204" s="80" t="str">
        <f t="shared" si="120"/>
        <v/>
      </c>
      <c r="I204" s="80" t="str">
        <f t="shared" si="121"/>
        <v/>
      </c>
      <c r="J204" s="117"/>
      <c r="K204" s="117"/>
      <c r="L204" s="117"/>
      <c r="M204" s="84"/>
      <c r="O204" s="75" t="str">
        <f t="shared" si="113"/>
        <v/>
      </c>
      <c r="P204" s="75" t="str">
        <f t="shared" si="114"/>
        <v/>
      </c>
      <c r="Q204" s="75" t="str">
        <f t="shared" si="115"/>
        <v/>
      </c>
      <c r="R204" s="75" t="str">
        <f t="shared" si="116"/>
        <v/>
      </c>
      <c r="AB204" t="s">
        <v>1986</v>
      </c>
      <c r="AC204" t="s">
        <v>1987</v>
      </c>
      <c r="AD204" s="75" t="s">
        <v>5146</v>
      </c>
      <c r="AE204" s="75" t="s">
        <v>5147</v>
      </c>
      <c r="AF204" s="75" t="s">
        <v>5168</v>
      </c>
      <c r="AG204" s="75" t="s">
        <v>5178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122"/>
        <v/>
      </c>
      <c r="E205" s="85"/>
      <c r="F205" s="80" t="str">
        <f t="shared" si="119"/>
        <v/>
      </c>
      <c r="G205" s="118"/>
      <c r="H205" s="80" t="str">
        <f t="shared" si="120"/>
        <v/>
      </c>
      <c r="I205" s="80" t="str">
        <f t="shared" si="121"/>
        <v/>
      </c>
      <c r="J205" s="117"/>
      <c r="K205" s="117"/>
      <c r="L205" s="117"/>
      <c r="M205" s="84"/>
      <c r="O205" s="75" t="str">
        <f t="shared" si="113"/>
        <v/>
      </c>
      <c r="P205" s="75" t="str">
        <f t="shared" si="114"/>
        <v/>
      </c>
      <c r="Q205" s="75" t="str">
        <f t="shared" si="115"/>
        <v/>
      </c>
      <c r="R205" s="75" t="str">
        <f t="shared" si="116"/>
        <v/>
      </c>
      <c r="AB205" t="s">
        <v>1988</v>
      </c>
      <c r="AC205" t="s">
        <v>1989</v>
      </c>
      <c r="AD205" s="75" t="s">
        <v>5150</v>
      </c>
      <c r="AE205" s="75" t="s">
        <v>5151</v>
      </c>
      <c r="AF205" s="75" t="s">
        <v>5168</v>
      </c>
      <c r="AG205" s="75" t="s">
        <v>5176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122"/>
        <v/>
      </c>
      <c r="E206" s="85"/>
      <c r="F206" s="80" t="str">
        <f t="shared" si="119"/>
        <v/>
      </c>
      <c r="G206" s="118"/>
      <c r="H206" s="80" t="str">
        <f t="shared" si="120"/>
        <v/>
      </c>
      <c r="I206" s="80" t="str">
        <f t="shared" si="121"/>
        <v/>
      </c>
      <c r="J206" s="117"/>
      <c r="K206" s="117"/>
      <c r="L206" s="117"/>
      <c r="M206" s="84"/>
      <c r="O206" s="75" t="str">
        <f t="shared" ref="O206:O269" si="123">LEFT(E206,3)</f>
        <v/>
      </c>
      <c r="P206" s="75" t="str">
        <f t="shared" ref="P206:P269" si="124">LEFT(E206,2)</f>
        <v/>
      </c>
      <c r="Q206" s="75" t="str">
        <f t="shared" ref="Q206:Q269" si="125">LEFT(C206,3)</f>
        <v/>
      </c>
      <c r="R206" s="75" t="str">
        <f t="shared" ref="R206:R269" si="126">MID(I206,2,2)</f>
        <v/>
      </c>
      <c r="AB206" t="s">
        <v>1990</v>
      </c>
      <c r="AC206" t="s">
        <v>1991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122"/>
        <v/>
      </c>
      <c r="E207" s="85"/>
      <c r="F207" s="80" t="str">
        <f t="shared" si="119"/>
        <v/>
      </c>
      <c r="G207" s="118"/>
      <c r="H207" s="80" t="str">
        <f t="shared" si="120"/>
        <v/>
      </c>
      <c r="I207" s="80" t="str">
        <f t="shared" si="121"/>
        <v/>
      </c>
      <c r="J207" s="117"/>
      <c r="K207" s="117"/>
      <c r="L207" s="117"/>
      <c r="M207" s="84"/>
      <c r="O207" s="75" t="str">
        <f t="shared" si="123"/>
        <v/>
      </c>
      <c r="P207" s="75" t="str">
        <f t="shared" si="124"/>
        <v/>
      </c>
      <c r="Q207" s="75" t="str">
        <f t="shared" si="125"/>
        <v/>
      </c>
      <c r="R207" s="75" t="str">
        <f t="shared" si="126"/>
        <v/>
      </c>
      <c r="AB207" t="s">
        <v>3474</v>
      </c>
      <c r="AC207" t="s">
        <v>3475</v>
      </c>
      <c r="AD207" s="75" t="s">
        <v>5158</v>
      </c>
      <c r="AE207" s="75" t="s">
        <v>5159</v>
      </c>
      <c r="AF207" s="75" t="s">
        <v>5168</v>
      </c>
      <c r="AG207" s="75" t="s">
        <v>5179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122"/>
        <v/>
      </c>
      <c r="E208" s="85"/>
      <c r="F208" s="80" t="str">
        <f t="shared" si="119"/>
        <v/>
      </c>
      <c r="G208" s="118"/>
      <c r="H208" s="80" t="str">
        <f t="shared" si="120"/>
        <v/>
      </c>
      <c r="I208" s="80" t="str">
        <f t="shared" si="121"/>
        <v/>
      </c>
      <c r="J208" s="117"/>
      <c r="K208" s="117"/>
      <c r="L208" s="117"/>
      <c r="M208" s="84"/>
      <c r="O208" s="75" t="str">
        <f t="shared" si="123"/>
        <v/>
      </c>
      <c r="P208" s="75" t="str">
        <f t="shared" si="124"/>
        <v/>
      </c>
      <c r="Q208" s="75" t="str">
        <f t="shared" si="125"/>
        <v/>
      </c>
      <c r="R208" s="75" t="str">
        <f t="shared" si="126"/>
        <v/>
      </c>
      <c r="AB208" t="s">
        <v>1995</v>
      </c>
      <c r="AC208" t="s">
        <v>1996</v>
      </c>
      <c r="AD208" s="75" t="s">
        <v>5158</v>
      </c>
      <c r="AE208" s="75" t="s">
        <v>5159</v>
      </c>
      <c r="AF208" s="75" t="s">
        <v>5168</v>
      </c>
      <c r="AG208" s="75" t="s">
        <v>5179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122"/>
        <v/>
      </c>
      <c r="E209" s="85"/>
      <c r="F209" s="80" t="str">
        <f t="shared" si="119"/>
        <v/>
      </c>
      <c r="G209" s="118"/>
      <c r="H209" s="80" t="str">
        <f t="shared" si="120"/>
        <v/>
      </c>
      <c r="I209" s="80" t="str">
        <f t="shared" si="121"/>
        <v/>
      </c>
      <c r="J209" s="117"/>
      <c r="K209" s="117"/>
      <c r="L209" s="117"/>
      <c r="M209" s="84"/>
      <c r="O209" s="75" t="str">
        <f t="shared" si="123"/>
        <v/>
      </c>
      <c r="P209" s="75" t="str">
        <f t="shared" si="124"/>
        <v/>
      </c>
      <c r="Q209" s="75" t="str">
        <f t="shared" si="125"/>
        <v/>
      </c>
      <c r="R209" s="75" t="str">
        <f t="shared" si="126"/>
        <v/>
      </c>
      <c r="AB209" t="s">
        <v>1995</v>
      </c>
      <c r="AC209" t="s">
        <v>1996</v>
      </c>
      <c r="AD209" s="75" t="s">
        <v>5146</v>
      </c>
      <c r="AE209" s="75" t="s">
        <v>5147</v>
      </c>
      <c r="AF209" s="75" t="s">
        <v>5168</v>
      </c>
      <c r="AG209" s="75" t="s">
        <v>5178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122"/>
        <v/>
      </c>
      <c r="E210" s="85"/>
      <c r="F210" s="80" t="str">
        <f t="shared" si="119"/>
        <v/>
      </c>
      <c r="G210" s="118"/>
      <c r="H210" s="80" t="str">
        <f t="shared" si="120"/>
        <v/>
      </c>
      <c r="I210" s="80" t="str">
        <f t="shared" si="121"/>
        <v/>
      </c>
      <c r="J210" s="117"/>
      <c r="K210" s="117"/>
      <c r="L210" s="117"/>
      <c r="M210" s="84"/>
      <c r="O210" s="75" t="str">
        <f t="shared" si="123"/>
        <v/>
      </c>
      <c r="P210" s="75" t="str">
        <f t="shared" si="124"/>
        <v/>
      </c>
      <c r="Q210" s="75" t="str">
        <f t="shared" si="125"/>
        <v/>
      </c>
      <c r="R210" s="75" t="str">
        <f t="shared" si="126"/>
        <v/>
      </c>
      <c r="AB210" t="s">
        <v>1997</v>
      </c>
      <c r="AC210" t="s">
        <v>3476</v>
      </c>
      <c r="AD210" s="75" t="s">
        <v>5146</v>
      </c>
      <c r="AE210" s="75" t="s">
        <v>5147</v>
      </c>
      <c r="AF210" s="75" t="s">
        <v>5168</v>
      </c>
      <c r="AG210" s="75" t="s">
        <v>5178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122"/>
        <v/>
      </c>
      <c r="E211" s="85"/>
      <c r="F211" s="80" t="str">
        <f t="shared" si="119"/>
        <v/>
      </c>
      <c r="G211" s="118"/>
      <c r="H211" s="80" t="str">
        <f t="shared" si="120"/>
        <v/>
      </c>
      <c r="I211" s="80" t="str">
        <f t="shared" si="121"/>
        <v/>
      </c>
      <c r="J211" s="117"/>
      <c r="K211" s="117"/>
      <c r="L211" s="117"/>
      <c r="M211" s="84"/>
      <c r="O211" s="75" t="str">
        <f t="shared" si="123"/>
        <v/>
      </c>
      <c r="P211" s="75" t="str">
        <f t="shared" si="124"/>
        <v/>
      </c>
      <c r="Q211" s="75" t="str">
        <f t="shared" si="125"/>
        <v/>
      </c>
      <c r="R211" s="75" t="str">
        <f t="shared" si="126"/>
        <v/>
      </c>
      <c r="AB211" t="s">
        <v>1998</v>
      </c>
      <c r="AC211" t="s">
        <v>3477</v>
      </c>
      <c r="AD211" s="75" t="s">
        <v>5154</v>
      </c>
      <c r="AE211" s="75" t="s">
        <v>5155</v>
      </c>
      <c r="AF211" s="75" t="s">
        <v>5168</v>
      </c>
      <c r="AG211" s="75" t="s">
        <v>5175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122"/>
        <v/>
      </c>
      <c r="E212" s="85"/>
      <c r="F212" s="80" t="str">
        <f t="shared" si="119"/>
        <v/>
      </c>
      <c r="G212" s="118"/>
      <c r="H212" s="80" t="str">
        <f t="shared" si="120"/>
        <v/>
      </c>
      <c r="I212" s="80" t="str">
        <f t="shared" si="121"/>
        <v/>
      </c>
      <c r="J212" s="117"/>
      <c r="K212" s="117"/>
      <c r="L212" s="117"/>
      <c r="M212" s="84"/>
      <c r="O212" s="75" t="str">
        <f t="shared" si="123"/>
        <v/>
      </c>
      <c r="P212" s="75" t="str">
        <f t="shared" si="124"/>
        <v/>
      </c>
      <c r="Q212" s="75" t="str">
        <f t="shared" si="125"/>
        <v/>
      </c>
      <c r="R212" s="75" t="str">
        <f t="shared" si="126"/>
        <v/>
      </c>
      <c r="AB212" t="s">
        <v>3478</v>
      </c>
      <c r="AC212" t="s">
        <v>3479</v>
      </c>
      <c r="AD212" s="75" t="s">
        <v>5144</v>
      </c>
      <c r="AE212" s="75" t="s">
        <v>5145</v>
      </c>
      <c r="AF212" s="75" t="s">
        <v>5170</v>
      </c>
      <c r="AG212" s="75" t="s">
        <v>5171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122"/>
        <v/>
      </c>
      <c r="E213" s="85"/>
      <c r="F213" s="80" t="str">
        <f t="shared" si="119"/>
        <v/>
      </c>
      <c r="G213" s="118"/>
      <c r="H213" s="80" t="str">
        <f t="shared" si="120"/>
        <v/>
      </c>
      <c r="I213" s="80" t="str">
        <f t="shared" si="121"/>
        <v/>
      </c>
      <c r="J213" s="117"/>
      <c r="K213" s="117"/>
      <c r="L213" s="117"/>
      <c r="M213" s="84"/>
      <c r="O213" s="75" t="str">
        <f t="shared" si="123"/>
        <v/>
      </c>
      <c r="P213" s="75" t="str">
        <f t="shared" si="124"/>
        <v/>
      </c>
      <c r="Q213" s="75" t="str">
        <f t="shared" si="125"/>
        <v/>
      </c>
      <c r="R213" s="75" t="str">
        <f t="shared" si="126"/>
        <v/>
      </c>
      <c r="AB213" t="s">
        <v>2001</v>
      </c>
      <c r="AC213" t="s">
        <v>2002</v>
      </c>
      <c r="AD213" s="75" t="s">
        <v>5142</v>
      </c>
      <c r="AE213" s="75" t="s">
        <v>5143</v>
      </c>
      <c r="AF213" s="75" t="s">
        <v>5168</v>
      </c>
      <c r="AG213" s="75" t="s">
        <v>5175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122"/>
        <v/>
      </c>
      <c r="E214" s="85"/>
      <c r="F214" s="80" t="str">
        <f t="shared" si="119"/>
        <v/>
      </c>
      <c r="G214" s="118"/>
      <c r="H214" s="80" t="str">
        <f t="shared" si="120"/>
        <v/>
      </c>
      <c r="I214" s="80" t="str">
        <f t="shared" si="121"/>
        <v/>
      </c>
      <c r="J214" s="117"/>
      <c r="K214" s="117"/>
      <c r="L214" s="117"/>
      <c r="M214" s="84"/>
      <c r="O214" s="75" t="str">
        <f t="shared" si="123"/>
        <v/>
      </c>
      <c r="P214" s="75" t="str">
        <f t="shared" si="124"/>
        <v/>
      </c>
      <c r="Q214" s="75" t="str">
        <f t="shared" si="125"/>
        <v/>
      </c>
      <c r="R214" s="75" t="str">
        <f t="shared" si="126"/>
        <v/>
      </c>
      <c r="AB214" t="s">
        <v>2003</v>
      </c>
      <c r="AC214" t="s">
        <v>2004</v>
      </c>
      <c r="AD214" s="75" t="s">
        <v>5162</v>
      </c>
      <c r="AE214" s="75" t="s">
        <v>5163</v>
      </c>
      <c r="AF214" s="75" t="s">
        <v>5168</v>
      </c>
      <c r="AG214" s="75" t="s">
        <v>5180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122"/>
        <v/>
      </c>
      <c r="E215" s="85"/>
      <c r="F215" s="80" t="str">
        <f t="shared" si="119"/>
        <v/>
      </c>
      <c r="G215" s="118"/>
      <c r="H215" s="80" t="str">
        <f t="shared" si="120"/>
        <v/>
      </c>
      <c r="I215" s="80" t="str">
        <f t="shared" si="121"/>
        <v/>
      </c>
      <c r="J215" s="117"/>
      <c r="K215" s="117"/>
      <c r="L215" s="117"/>
      <c r="M215" s="84"/>
      <c r="O215" s="75" t="str">
        <f t="shared" si="123"/>
        <v/>
      </c>
      <c r="P215" s="75" t="str">
        <f t="shared" si="124"/>
        <v/>
      </c>
      <c r="Q215" s="75" t="str">
        <f t="shared" si="125"/>
        <v/>
      </c>
      <c r="R215" s="75" t="str">
        <f t="shared" si="126"/>
        <v/>
      </c>
      <c r="AB215" t="s">
        <v>2006</v>
      </c>
      <c r="AC215" t="s">
        <v>2007</v>
      </c>
      <c r="AD215" s="75" t="s">
        <v>5142</v>
      </c>
      <c r="AE215" s="75" t="s">
        <v>5143</v>
      </c>
      <c r="AF215" s="75" t="s">
        <v>5168</v>
      </c>
      <c r="AG215" s="75" t="s">
        <v>5175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122"/>
        <v/>
      </c>
      <c r="E216" s="85"/>
      <c r="F216" s="80" t="str">
        <f t="shared" si="119"/>
        <v/>
      </c>
      <c r="G216" s="118"/>
      <c r="H216" s="80" t="str">
        <f t="shared" si="120"/>
        <v/>
      </c>
      <c r="I216" s="80" t="str">
        <f t="shared" si="121"/>
        <v/>
      </c>
      <c r="J216" s="117"/>
      <c r="K216" s="117"/>
      <c r="L216" s="117"/>
      <c r="M216" s="84"/>
      <c r="O216" s="75" t="str">
        <f t="shared" si="123"/>
        <v/>
      </c>
      <c r="P216" s="75" t="str">
        <f t="shared" si="124"/>
        <v/>
      </c>
      <c r="Q216" s="75" t="str">
        <f t="shared" si="125"/>
        <v/>
      </c>
      <c r="R216" s="75" t="str">
        <f t="shared" si="126"/>
        <v/>
      </c>
      <c r="AB216" t="s">
        <v>1653</v>
      </c>
      <c r="AC216" t="s">
        <v>1654</v>
      </c>
      <c r="AD216" s="75" t="s">
        <v>5158</v>
      </c>
      <c r="AE216" s="75" t="s">
        <v>5159</v>
      </c>
      <c r="AF216" s="75" t="s">
        <v>5168</v>
      </c>
      <c r="AG216" s="75" t="s">
        <v>5179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122"/>
        <v/>
      </c>
      <c r="E217" s="85"/>
      <c r="F217" s="80" t="str">
        <f t="shared" si="119"/>
        <v/>
      </c>
      <c r="G217" s="118"/>
      <c r="H217" s="80" t="str">
        <f t="shared" si="120"/>
        <v/>
      </c>
      <c r="I217" s="80" t="str">
        <f t="shared" si="121"/>
        <v/>
      </c>
      <c r="J217" s="117"/>
      <c r="K217" s="117"/>
      <c r="L217" s="117"/>
      <c r="M217" s="84"/>
      <c r="O217" s="75" t="str">
        <f t="shared" si="123"/>
        <v/>
      </c>
      <c r="P217" s="75" t="str">
        <f t="shared" si="124"/>
        <v/>
      </c>
      <c r="Q217" s="75" t="str">
        <f t="shared" si="125"/>
        <v/>
      </c>
      <c r="R217" s="75" t="str">
        <f t="shared" si="126"/>
        <v/>
      </c>
      <c r="AB217" t="s">
        <v>2008</v>
      </c>
      <c r="AC217" t="s">
        <v>1993</v>
      </c>
      <c r="AD217" s="75" t="s">
        <v>5146</v>
      </c>
      <c r="AE217" s="75" t="s">
        <v>5147</v>
      </c>
      <c r="AF217" s="75" t="s">
        <v>5168</v>
      </c>
      <c r="AG217" s="75" t="s">
        <v>5178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122"/>
        <v/>
      </c>
      <c r="E218" s="85"/>
      <c r="F218" s="80" t="str">
        <f t="shared" si="119"/>
        <v/>
      </c>
      <c r="G218" s="118"/>
      <c r="H218" s="80" t="str">
        <f t="shared" si="120"/>
        <v/>
      </c>
      <c r="I218" s="80" t="str">
        <f t="shared" si="121"/>
        <v/>
      </c>
      <c r="J218" s="117"/>
      <c r="K218" s="117"/>
      <c r="L218" s="117"/>
      <c r="M218" s="84"/>
      <c r="O218" s="75" t="str">
        <f t="shared" si="123"/>
        <v/>
      </c>
      <c r="P218" s="75" t="str">
        <f t="shared" si="124"/>
        <v/>
      </c>
      <c r="Q218" s="75" t="str">
        <f t="shared" si="125"/>
        <v/>
      </c>
      <c r="R218" s="75" t="str">
        <f t="shared" si="126"/>
        <v/>
      </c>
      <c r="AB218" t="s">
        <v>2009</v>
      </c>
      <c r="AC218" t="s">
        <v>3480</v>
      </c>
      <c r="AD218" s="75" t="s">
        <v>5142</v>
      </c>
      <c r="AE218" s="75" t="s">
        <v>5143</v>
      </c>
      <c r="AF218" s="75" t="s">
        <v>5168</v>
      </c>
      <c r="AG218" s="75" t="s">
        <v>5175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122"/>
        <v/>
      </c>
      <c r="E219" s="85"/>
      <c r="F219" s="80" t="str">
        <f t="shared" si="119"/>
        <v/>
      </c>
      <c r="G219" s="118"/>
      <c r="H219" s="80" t="str">
        <f t="shared" si="120"/>
        <v/>
      </c>
      <c r="I219" s="80" t="str">
        <f t="shared" si="121"/>
        <v/>
      </c>
      <c r="J219" s="117"/>
      <c r="K219" s="117"/>
      <c r="L219" s="117"/>
      <c r="M219" s="84"/>
      <c r="O219" s="75" t="str">
        <f t="shared" si="123"/>
        <v/>
      </c>
      <c r="P219" s="75" t="str">
        <f t="shared" si="124"/>
        <v/>
      </c>
      <c r="Q219" s="75" t="str">
        <f t="shared" si="125"/>
        <v/>
      </c>
      <c r="R219" s="75" t="str">
        <f t="shared" si="126"/>
        <v/>
      </c>
      <c r="AB219" t="s">
        <v>3481</v>
      </c>
      <c r="AC219" t="s">
        <v>3482</v>
      </c>
      <c r="AD219" s="75" t="s">
        <v>5144</v>
      </c>
      <c r="AE219" s="75" t="s">
        <v>5145</v>
      </c>
      <c r="AF219" s="75" t="s">
        <v>5170</v>
      </c>
      <c r="AG219" s="75" t="s">
        <v>5171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122"/>
        <v/>
      </c>
      <c r="E220" s="85"/>
      <c r="F220" s="80" t="str">
        <f t="shared" si="119"/>
        <v/>
      </c>
      <c r="G220" s="118"/>
      <c r="H220" s="80" t="str">
        <f t="shared" si="120"/>
        <v/>
      </c>
      <c r="I220" s="80" t="str">
        <f t="shared" si="121"/>
        <v/>
      </c>
      <c r="J220" s="117"/>
      <c r="K220" s="117"/>
      <c r="L220" s="117"/>
      <c r="M220" s="84"/>
      <c r="O220" s="75" t="str">
        <f t="shared" si="123"/>
        <v/>
      </c>
      <c r="P220" s="75" t="str">
        <f t="shared" si="124"/>
        <v/>
      </c>
      <c r="Q220" s="75" t="str">
        <f t="shared" si="125"/>
        <v/>
      </c>
      <c r="R220" s="75" t="str">
        <f t="shared" si="126"/>
        <v/>
      </c>
      <c r="AB220" t="s">
        <v>3483</v>
      </c>
      <c r="AC220" t="s">
        <v>3484</v>
      </c>
      <c r="AD220" s="75" t="s">
        <v>5146</v>
      </c>
      <c r="AE220" s="75" t="s">
        <v>5147</v>
      </c>
      <c r="AF220" s="75" t="s">
        <v>5168</v>
      </c>
      <c r="AG220" s="75" t="s">
        <v>5178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122"/>
        <v/>
      </c>
      <c r="E221" s="85"/>
      <c r="F221" s="80" t="str">
        <f t="shared" si="119"/>
        <v/>
      </c>
      <c r="G221" s="118"/>
      <c r="H221" s="80" t="str">
        <f t="shared" si="120"/>
        <v/>
      </c>
      <c r="I221" s="80" t="str">
        <f t="shared" si="121"/>
        <v/>
      </c>
      <c r="J221" s="117"/>
      <c r="K221" s="117"/>
      <c r="L221" s="117"/>
      <c r="M221" s="84"/>
      <c r="O221" s="75" t="str">
        <f t="shared" si="123"/>
        <v/>
      </c>
      <c r="P221" s="75" t="str">
        <f t="shared" si="124"/>
        <v/>
      </c>
      <c r="Q221" s="75" t="str">
        <f t="shared" si="125"/>
        <v/>
      </c>
      <c r="R221" s="75" t="str">
        <f t="shared" si="126"/>
        <v/>
      </c>
      <c r="AB221" t="s">
        <v>956</v>
      </c>
      <c r="AC221" t="s">
        <v>1001</v>
      </c>
      <c r="AD221" s="75" t="s">
        <v>5162</v>
      </c>
      <c r="AE221" s="75" t="s">
        <v>5163</v>
      </c>
      <c r="AF221" s="75" t="s">
        <v>5168</v>
      </c>
      <c r="AG221" s="75" t="s">
        <v>5180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122"/>
        <v/>
      </c>
      <c r="E222" s="85"/>
      <c r="F222" s="80" t="str">
        <f t="shared" si="119"/>
        <v/>
      </c>
      <c r="G222" s="118"/>
      <c r="H222" s="80" t="str">
        <f t="shared" si="120"/>
        <v/>
      </c>
      <c r="I222" s="80" t="str">
        <f t="shared" si="121"/>
        <v/>
      </c>
      <c r="J222" s="117"/>
      <c r="K222" s="117"/>
      <c r="L222" s="117"/>
      <c r="M222" s="84"/>
      <c r="O222" s="75" t="str">
        <f t="shared" si="123"/>
        <v/>
      </c>
      <c r="P222" s="75" t="str">
        <f t="shared" si="124"/>
        <v/>
      </c>
      <c r="Q222" s="75" t="str">
        <f t="shared" si="125"/>
        <v/>
      </c>
      <c r="R222" s="75" t="str">
        <f t="shared" si="126"/>
        <v/>
      </c>
      <c r="AB222" t="s">
        <v>3485</v>
      </c>
      <c r="AC222" t="s">
        <v>3486</v>
      </c>
      <c r="AD222" s="75" t="s">
        <v>5146</v>
      </c>
      <c r="AE222" s="75" t="s">
        <v>5147</v>
      </c>
      <c r="AF222" s="75" t="s">
        <v>5168</v>
      </c>
      <c r="AG222" s="75" t="s">
        <v>5178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122"/>
        <v/>
      </c>
      <c r="E223" s="85"/>
      <c r="F223" s="80" t="str">
        <f t="shared" si="119"/>
        <v/>
      </c>
      <c r="G223" s="118"/>
      <c r="H223" s="80" t="str">
        <f t="shared" si="120"/>
        <v/>
      </c>
      <c r="I223" s="80" t="str">
        <f t="shared" si="121"/>
        <v/>
      </c>
      <c r="J223" s="313"/>
      <c r="K223" s="313"/>
      <c r="L223" s="313"/>
      <c r="M223" s="84"/>
      <c r="O223" s="75" t="str">
        <f t="shared" si="123"/>
        <v/>
      </c>
      <c r="P223" s="75" t="str">
        <f t="shared" si="124"/>
        <v/>
      </c>
      <c r="Q223" s="75" t="str">
        <f t="shared" si="125"/>
        <v/>
      </c>
      <c r="R223" s="75" t="str">
        <f t="shared" si="126"/>
        <v/>
      </c>
      <c r="AB223" t="s">
        <v>48</v>
      </c>
      <c r="AC223" t="s">
        <v>49</v>
      </c>
      <c r="AD223" s="75" t="s">
        <v>5150</v>
      </c>
      <c r="AE223" s="75" t="s">
        <v>5151</v>
      </c>
      <c r="AF223" s="75" t="s">
        <v>5168</v>
      </c>
      <c r="AG223" s="75" t="s">
        <v>5176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122"/>
        <v/>
      </c>
      <c r="E224" s="85"/>
      <c r="F224" s="80" t="str">
        <f t="shared" si="119"/>
        <v/>
      </c>
      <c r="G224" s="118"/>
      <c r="H224" s="80" t="str">
        <f t="shared" si="120"/>
        <v/>
      </c>
      <c r="I224" s="80" t="str">
        <f t="shared" si="121"/>
        <v/>
      </c>
      <c r="J224" s="313"/>
      <c r="K224" s="313"/>
      <c r="L224" s="313"/>
      <c r="M224" s="84"/>
      <c r="N224" s="328">
        <f>SUM(J3:J218)</f>
        <v>1784262.4800000002</v>
      </c>
      <c r="O224" s="75" t="str">
        <f t="shared" si="123"/>
        <v/>
      </c>
      <c r="P224" s="75" t="str">
        <f t="shared" si="124"/>
        <v/>
      </c>
      <c r="Q224" s="75" t="str">
        <f t="shared" si="125"/>
        <v/>
      </c>
      <c r="R224" s="75" t="str">
        <f t="shared" si="126"/>
        <v/>
      </c>
      <c r="AB224" t="s">
        <v>58</v>
      </c>
      <c r="AC224" t="s">
        <v>59</v>
      </c>
      <c r="AD224" s="75" t="s">
        <v>5150</v>
      </c>
      <c r="AE224" s="75" t="s">
        <v>5151</v>
      </c>
      <c r="AF224" s="75" t="s">
        <v>5168</v>
      </c>
      <c r="AG224" s="75" t="s">
        <v>5176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122"/>
        <v/>
      </c>
      <c r="E225" s="85"/>
      <c r="F225" s="80" t="str">
        <f t="shared" si="119"/>
        <v/>
      </c>
      <c r="G225" s="118"/>
      <c r="H225" s="80" t="str">
        <f t="shared" si="120"/>
        <v/>
      </c>
      <c r="I225" s="80" t="str">
        <f t="shared" si="121"/>
        <v/>
      </c>
      <c r="J225" s="313"/>
      <c r="K225" s="313"/>
      <c r="L225" s="313"/>
      <c r="M225" s="84"/>
      <c r="N225" s="328">
        <f>SUM('Unos rashoda P4'!H3:H102)</f>
        <v>1264630</v>
      </c>
      <c r="O225" s="75" t="str">
        <f t="shared" si="123"/>
        <v/>
      </c>
      <c r="P225" s="75" t="str">
        <f t="shared" si="124"/>
        <v/>
      </c>
      <c r="Q225" s="75" t="str">
        <f t="shared" si="125"/>
        <v/>
      </c>
      <c r="R225" s="75" t="str">
        <f t="shared" si="126"/>
        <v/>
      </c>
      <c r="AB225" t="s">
        <v>61</v>
      </c>
      <c r="AC225" t="s">
        <v>62</v>
      </c>
      <c r="AD225" s="75" t="s">
        <v>5150</v>
      </c>
      <c r="AE225" s="75" t="s">
        <v>5151</v>
      </c>
      <c r="AF225" s="75" t="s">
        <v>5168</v>
      </c>
      <c r="AG225" s="75" t="s">
        <v>5176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122"/>
        <v/>
      </c>
      <c r="E226" s="85"/>
      <c r="F226" s="80" t="str">
        <f t="shared" si="119"/>
        <v/>
      </c>
      <c r="G226" s="118"/>
      <c r="H226" s="80" t="str">
        <f t="shared" si="120"/>
        <v/>
      </c>
      <c r="I226" s="80" t="str">
        <f t="shared" si="121"/>
        <v/>
      </c>
      <c r="J226" s="313"/>
      <c r="K226" s="313"/>
      <c r="L226" s="313"/>
      <c r="M226" s="84"/>
      <c r="N226" s="328">
        <f>+N225+N224</f>
        <v>3048892.4800000004</v>
      </c>
      <c r="O226" s="75" t="str">
        <f t="shared" si="123"/>
        <v/>
      </c>
      <c r="P226" s="75" t="str">
        <f t="shared" si="124"/>
        <v/>
      </c>
      <c r="Q226" s="75" t="str">
        <f t="shared" si="125"/>
        <v/>
      </c>
      <c r="R226" s="75" t="str">
        <f t="shared" si="126"/>
        <v/>
      </c>
      <c r="AB226" t="s">
        <v>63</v>
      </c>
      <c r="AC226" t="s">
        <v>64</v>
      </c>
      <c r="AD226" s="75" t="s">
        <v>5150</v>
      </c>
      <c r="AE226" s="75" t="s">
        <v>5151</v>
      </c>
      <c r="AF226" s="75" t="s">
        <v>5168</v>
      </c>
      <c r="AG226" s="75" t="s">
        <v>5176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122"/>
        <v/>
      </c>
      <c r="E227" s="85"/>
      <c r="F227" s="80" t="str">
        <f t="shared" si="119"/>
        <v/>
      </c>
      <c r="G227" s="118"/>
      <c r="H227" s="80" t="str">
        <f t="shared" si="120"/>
        <v/>
      </c>
      <c r="I227" s="80" t="str">
        <f t="shared" si="121"/>
        <v/>
      </c>
      <c r="J227" s="313"/>
      <c r="K227" s="313"/>
      <c r="L227" s="313"/>
      <c r="M227" s="84"/>
      <c r="N227" s="328">
        <f>+J220+'Unos rashoda P4'!H105</f>
        <v>0</v>
      </c>
      <c r="O227" s="75" t="str">
        <f t="shared" si="123"/>
        <v/>
      </c>
      <c r="P227" s="75" t="str">
        <f t="shared" si="124"/>
        <v/>
      </c>
      <c r="Q227" s="75" t="str">
        <f t="shared" si="125"/>
        <v/>
      </c>
      <c r="R227" s="75" t="str">
        <f t="shared" si="126"/>
        <v/>
      </c>
      <c r="AB227" t="s">
        <v>674</v>
      </c>
      <c r="AC227" t="s">
        <v>675</v>
      </c>
      <c r="AD227" s="75" t="s">
        <v>5150</v>
      </c>
      <c r="AE227" s="75" t="s">
        <v>5151</v>
      </c>
      <c r="AF227" s="75" t="s">
        <v>5168</v>
      </c>
      <c r="AG227" s="75" t="s">
        <v>5176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122"/>
        <v/>
      </c>
      <c r="E228" s="85"/>
      <c r="F228" s="80" t="str">
        <f t="shared" si="119"/>
        <v/>
      </c>
      <c r="G228" s="118"/>
      <c r="H228" s="80" t="str">
        <f t="shared" si="120"/>
        <v/>
      </c>
      <c r="I228" s="80" t="str">
        <f t="shared" si="121"/>
        <v/>
      </c>
      <c r="J228" s="313"/>
      <c r="K228" s="313"/>
      <c r="L228" s="313"/>
      <c r="M228" s="84"/>
      <c r="N228" s="328">
        <f>+N226+N227</f>
        <v>3048892.4800000004</v>
      </c>
      <c r="O228" s="75" t="str">
        <f t="shared" si="123"/>
        <v/>
      </c>
      <c r="P228" s="75" t="str">
        <f t="shared" si="124"/>
        <v/>
      </c>
      <c r="Q228" s="75" t="str">
        <f t="shared" si="125"/>
        <v/>
      </c>
      <c r="R228" s="75" t="str">
        <f t="shared" si="126"/>
        <v/>
      </c>
      <c r="AB228" t="s">
        <v>68</v>
      </c>
      <c r="AC228" t="s">
        <v>69</v>
      </c>
      <c r="AD228" s="75" t="s">
        <v>5150</v>
      </c>
      <c r="AE228" s="75" t="s">
        <v>5151</v>
      </c>
      <c r="AF228" s="75" t="s">
        <v>5168</v>
      </c>
      <c r="AG228" s="75" t="s">
        <v>5176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122"/>
        <v/>
      </c>
      <c r="E229" s="85"/>
      <c r="F229" s="80" t="str">
        <f t="shared" si="119"/>
        <v/>
      </c>
      <c r="G229" s="118"/>
      <c r="H229" s="80" t="str">
        <f t="shared" si="120"/>
        <v/>
      </c>
      <c r="I229" s="80" t="str">
        <f t="shared" si="121"/>
        <v/>
      </c>
      <c r="J229" s="313"/>
      <c r="K229" s="313"/>
      <c r="L229" s="313"/>
      <c r="M229" s="84"/>
      <c r="O229" s="75" t="str">
        <f t="shared" si="123"/>
        <v/>
      </c>
      <c r="P229" s="75" t="str">
        <f t="shared" si="124"/>
        <v/>
      </c>
      <c r="Q229" s="75" t="str">
        <f t="shared" si="125"/>
        <v/>
      </c>
      <c r="R229" s="75" t="str">
        <f t="shared" si="126"/>
        <v/>
      </c>
      <c r="AB229" t="s">
        <v>70</v>
      </c>
      <c r="AC229" t="s">
        <v>71</v>
      </c>
      <c r="AD229" s="75" t="s">
        <v>5150</v>
      </c>
      <c r="AE229" s="75" t="s">
        <v>5151</v>
      </c>
      <c r="AF229" s="75" t="s">
        <v>5168</v>
      </c>
      <c r="AG229" s="75" t="s">
        <v>5176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122"/>
        <v/>
      </c>
      <c r="E230" s="85"/>
      <c r="F230" s="80" t="str">
        <f t="shared" si="119"/>
        <v/>
      </c>
      <c r="G230" s="118"/>
      <c r="H230" s="80" t="str">
        <f t="shared" si="120"/>
        <v/>
      </c>
      <c r="I230" s="80" t="str">
        <f t="shared" si="121"/>
        <v/>
      </c>
      <c r="J230" s="117"/>
      <c r="K230" s="117"/>
      <c r="L230" s="117"/>
      <c r="M230" s="84"/>
      <c r="O230" s="75" t="str">
        <f t="shared" si="123"/>
        <v/>
      </c>
      <c r="P230" s="75" t="str">
        <f t="shared" si="124"/>
        <v/>
      </c>
      <c r="Q230" s="75" t="str">
        <f t="shared" si="125"/>
        <v/>
      </c>
      <c r="R230" s="75" t="str">
        <f t="shared" si="126"/>
        <v/>
      </c>
      <c r="AB230" s="75" t="s">
        <v>72</v>
      </c>
      <c r="AC230" s="75" t="s">
        <v>73</v>
      </c>
      <c r="AD230" s="75" t="s">
        <v>5150</v>
      </c>
      <c r="AE230" s="75" t="s">
        <v>5151</v>
      </c>
      <c r="AF230" s="75" t="s">
        <v>5168</v>
      </c>
      <c r="AG230" s="75" t="s">
        <v>5176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122"/>
        <v/>
      </c>
      <c r="E231" s="85"/>
      <c r="F231" s="80" t="str">
        <f t="shared" si="119"/>
        <v/>
      </c>
      <c r="G231" s="118"/>
      <c r="H231" s="80" t="str">
        <f t="shared" si="120"/>
        <v/>
      </c>
      <c r="I231" s="80" t="str">
        <f t="shared" si="121"/>
        <v/>
      </c>
      <c r="J231" s="117"/>
      <c r="K231" s="117"/>
      <c r="L231" s="117"/>
      <c r="M231" s="84"/>
      <c r="N231" s="328"/>
      <c r="O231" s="75" t="str">
        <f t="shared" si="123"/>
        <v/>
      </c>
      <c r="P231" s="75" t="str">
        <f t="shared" si="124"/>
        <v/>
      </c>
      <c r="Q231" s="75" t="str">
        <f t="shared" si="125"/>
        <v/>
      </c>
      <c r="R231" s="75" t="str">
        <f t="shared" si="126"/>
        <v/>
      </c>
      <c r="AB231" s="75" t="s">
        <v>75</v>
      </c>
      <c r="AC231" s="75" t="s">
        <v>76</v>
      </c>
      <c r="AD231" s="75" t="s">
        <v>5150</v>
      </c>
      <c r="AE231" s="75" t="s">
        <v>5151</v>
      </c>
      <c r="AF231" s="75" t="s">
        <v>5168</v>
      </c>
      <c r="AG231" s="75" t="s">
        <v>5176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122"/>
        <v/>
      </c>
      <c r="E232" s="85"/>
      <c r="F232" s="80" t="str">
        <f t="shared" si="119"/>
        <v/>
      </c>
      <c r="G232" s="118"/>
      <c r="H232" s="80" t="str">
        <f t="shared" si="120"/>
        <v/>
      </c>
      <c r="I232" s="80" t="str">
        <f t="shared" si="121"/>
        <v/>
      </c>
      <c r="J232" s="117"/>
      <c r="K232" s="117"/>
      <c r="L232" s="117"/>
      <c r="M232" s="84"/>
      <c r="O232" s="75" t="str">
        <f t="shared" si="123"/>
        <v/>
      </c>
      <c r="P232" s="75" t="str">
        <f t="shared" si="124"/>
        <v/>
      </c>
      <c r="Q232" s="75" t="str">
        <f t="shared" si="125"/>
        <v/>
      </c>
      <c r="R232" s="75" t="str">
        <f t="shared" si="126"/>
        <v/>
      </c>
      <c r="AB232" s="75" t="s">
        <v>678</v>
      </c>
      <c r="AC232" s="75" t="s">
        <v>679</v>
      </c>
      <c r="AD232" s="75" t="s">
        <v>5150</v>
      </c>
      <c r="AE232" s="75" t="s">
        <v>5151</v>
      </c>
      <c r="AF232" s="75" t="s">
        <v>5168</v>
      </c>
      <c r="AG232" s="75" t="s">
        <v>5176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122"/>
        <v/>
      </c>
      <c r="E233" s="85"/>
      <c r="F233" s="80" t="str">
        <f t="shared" si="119"/>
        <v/>
      </c>
      <c r="G233" s="118"/>
      <c r="H233" s="80" t="str">
        <f t="shared" si="120"/>
        <v/>
      </c>
      <c r="I233" s="80" t="str">
        <f t="shared" si="121"/>
        <v/>
      </c>
      <c r="J233" s="117"/>
      <c r="K233" s="117"/>
      <c r="L233" s="117"/>
      <c r="M233" s="84"/>
      <c r="N233" s="328"/>
      <c r="O233" s="75" t="str">
        <f t="shared" si="123"/>
        <v/>
      </c>
      <c r="P233" s="75" t="str">
        <f t="shared" si="124"/>
        <v/>
      </c>
      <c r="Q233" s="75" t="str">
        <f t="shared" si="125"/>
        <v/>
      </c>
      <c r="R233" s="75" t="str">
        <f t="shared" si="126"/>
        <v/>
      </c>
      <c r="AB233" s="75" t="s">
        <v>1874</v>
      </c>
      <c r="AC233" s="75" t="s">
        <v>933</v>
      </c>
      <c r="AD233" s="75" t="s">
        <v>5150</v>
      </c>
      <c r="AE233" s="75" t="s">
        <v>5151</v>
      </c>
      <c r="AF233" s="75" t="s">
        <v>5168</v>
      </c>
      <c r="AG233" s="75" t="s">
        <v>5176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122"/>
        <v/>
      </c>
      <c r="E234" s="85"/>
      <c r="F234" s="80" t="str">
        <f t="shared" si="119"/>
        <v/>
      </c>
      <c r="G234" s="118"/>
      <c r="H234" s="80" t="str">
        <f t="shared" si="120"/>
        <v/>
      </c>
      <c r="I234" s="80" t="str">
        <f t="shared" si="121"/>
        <v/>
      </c>
      <c r="J234" s="117"/>
      <c r="K234" s="117"/>
      <c r="L234" s="117"/>
      <c r="M234" s="84"/>
      <c r="O234" s="75" t="str">
        <f t="shared" si="123"/>
        <v/>
      </c>
      <c r="P234" s="75" t="str">
        <f t="shared" si="124"/>
        <v/>
      </c>
      <c r="Q234" s="75" t="str">
        <f t="shared" si="125"/>
        <v/>
      </c>
      <c r="R234" s="75" t="str">
        <f t="shared" si="126"/>
        <v/>
      </c>
      <c r="AB234" s="75" t="s">
        <v>934</v>
      </c>
      <c r="AC234" s="75" t="s">
        <v>935</v>
      </c>
      <c r="AD234" s="75" t="s">
        <v>5150</v>
      </c>
      <c r="AE234" s="75" t="s">
        <v>5151</v>
      </c>
      <c r="AF234" s="75" t="s">
        <v>5168</v>
      </c>
      <c r="AG234" s="75" t="s">
        <v>5176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122"/>
        <v/>
      </c>
      <c r="E235" s="85"/>
      <c r="F235" s="80" t="str">
        <f t="shared" si="119"/>
        <v/>
      </c>
      <c r="G235" s="118"/>
      <c r="H235" s="80" t="str">
        <f t="shared" si="120"/>
        <v/>
      </c>
      <c r="I235" s="80" t="str">
        <f t="shared" si="121"/>
        <v/>
      </c>
      <c r="J235" s="117"/>
      <c r="K235" s="117"/>
      <c r="L235" s="117"/>
      <c r="M235" s="84"/>
      <c r="O235" s="75" t="str">
        <f t="shared" si="123"/>
        <v/>
      </c>
      <c r="P235" s="75" t="str">
        <f t="shared" si="124"/>
        <v/>
      </c>
      <c r="Q235" s="75" t="str">
        <f t="shared" si="125"/>
        <v/>
      </c>
      <c r="R235" s="75" t="str">
        <f t="shared" si="126"/>
        <v/>
      </c>
      <c r="AB235" s="75" t="s">
        <v>680</v>
      </c>
      <c r="AC235" s="75" t="s">
        <v>681</v>
      </c>
      <c r="AD235" s="75" t="s">
        <v>5150</v>
      </c>
      <c r="AE235" s="75" t="s">
        <v>5151</v>
      </c>
      <c r="AF235" s="75" t="s">
        <v>5168</v>
      </c>
      <c r="AG235" s="75" t="s">
        <v>5176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122"/>
        <v/>
      </c>
      <c r="E236" s="85"/>
      <c r="F236" s="80" t="str">
        <f t="shared" si="119"/>
        <v/>
      </c>
      <c r="G236" s="118"/>
      <c r="H236" s="80" t="str">
        <f t="shared" si="120"/>
        <v/>
      </c>
      <c r="I236" s="80" t="str">
        <f t="shared" si="121"/>
        <v/>
      </c>
      <c r="J236" s="117"/>
      <c r="K236" s="117"/>
      <c r="L236" s="117"/>
      <c r="M236" s="84"/>
      <c r="O236" s="75" t="str">
        <f t="shared" si="123"/>
        <v/>
      </c>
      <c r="P236" s="75" t="str">
        <f t="shared" si="124"/>
        <v/>
      </c>
      <c r="Q236" s="75" t="str">
        <f t="shared" si="125"/>
        <v/>
      </c>
      <c r="R236" s="75" t="str">
        <f t="shared" si="126"/>
        <v/>
      </c>
      <c r="AB236" s="75" t="s">
        <v>672</v>
      </c>
      <c r="AC236" s="75" t="s">
        <v>673</v>
      </c>
      <c r="AD236" s="75" t="s">
        <v>5150</v>
      </c>
      <c r="AE236" s="75" t="s">
        <v>5151</v>
      </c>
      <c r="AF236" s="75" t="s">
        <v>5168</v>
      </c>
      <c r="AG236" s="75" t="s">
        <v>5176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122"/>
        <v/>
      </c>
      <c r="E237" s="85"/>
      <c r="F237" s="80" t="str">
        <f t="shared" si="119"/>
        <v/>
      </c>
      <c r="G237" s="118"/>
      <c r="H237" s="80" t="str">
        <f t="shared" si="120"/>
        <v/>
      </c>
      <c r="I237" s="80" t="str">
        <f t="shared" si="121"/>
        <v/>
      </c>
      <c r="J237" s="117"/>
      <c r="K237" s="117"/>
      <c r="L237" s="117"/>
      <c r="M237" s="84"/>
      <c r="O237" s="75" t="str">
        <f t="shared" si="123"/>
        <v/>
      </c>
      <c r="P237" s="75" t="str">
        <f t="shared" si="124"/>
        <v/>
      </c>
      <c r="Q237" s="75" t="str">
        <f t="shared" si="125"/>
        <v/>
      </c>
      <c r="R237" s="75" t="str">
        <f t="shared" si="126"/>
        <v/>
      </c>
      <c r="AB237" s="75" t="s">
        <v>92</v>
      </c>
      <c r="AC237" s="75" t="s">
        <v>1737</v>
      </c>
      <c r="AD237" s="75" t="s">
        <v>5150</v>
      </c>
      <c r="AE237" s="75" t="s">
        <v>5151</v>
      </c>
      <c r="AF237" s="75" t="s">
        <v>5168</v>
      </c>
      <c r="AG237" s="75" t="s">
        <v>5176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122"/>
        <v/>
      </c>
      <c r="E238" s="85"/>
      <c r="F238" s="80" t="str">
        <f t="shared" si="119"/>
        <v/>
      </c>
      <c r="G238" s="118"/>
      <c r="H238" s="80" t="str">
        <f t="shared" si="120"/>
        <v/>
      </c>
      <c r="I238" s="80" t="str">
        <f t="shared" si="121"/>
        <v/>
      </c>
      <c r="J238" s="117"/>
      <c r="K238" s="117"/>
      <c r="L238" s="117"/>
      <c r="M238" s="84"/>
      <c r="O238" s="75" t="str">
        <f t="shared" si="123"/>
        <v/>
      </c>
      <c r="P238" s="75" t="str">
        <f t="shared" si="124"/>
        <v/>
      </c>
      <c r="Q238" s="75" t="str">
        <f t="shared" si="125"/>
        <v/>
      </c>
      <c r="R238" s="75" t="str">
        <f t="shared" si="126"/>
        <v/>
      </c>
      <c r="AB238" s="75" t="s">
        <v>117</v>
      </c>
      <c r="AC238" s="75" t="s">
        <v>1738</v>
      </c>
      <c r="AD238" s="75" t="s">
        <v>5150</v>
      </c>
      <c r="AE238" s="75" t="s">
        <v>5151</v>
      </c>
      <c r="AF238" s="75" t="s">
        <v>5168</v>
      </c>
      <c r="AG238" s="75" t="s">
        <v>5176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122"/>
        <v/>
      </c>
      <c r="E239" s="85"/>
      <c r="F239" s="80" t="str">
        <f t="shared" si="119"/>
        <v/>
      </c>
      <c r="G239" s="118"/>
      <c r="H239" s="80" t="str">
        <f t="shared" si="120"/>
        <v/>
      </c>
      <c r="I239" s="80" t="str">
        <f t="shared" si="121"/>
        <v/>
      </c>
      <c r="J239" s="117"/>
      <c r="K239" s="117"/>
      <c r="L239" s="117"/>
      <c r="M239" s="84"/>
      <c r="O239" s="75" t="str">
        <f t="shared" si="123"/>
        <v/>
      </c>
      <c r="P239" s="75" t="str">
        <f t="shared" si="124"/>
        <v/>
      </c>
      <c r="Q239" s="75" t="str">
        <f t="shared" si="125"/>
        <v/>
      </c>
      <c r="R239" s="75" t="str">
        <f t="shared" si="126"/>
        <v/>
      </c>
      <c r="AB239" s="75" t="s">
        <v>1909</v>
      </c>
      <c r="AC239" s="75" t="s">
        <v>1910</v>
      </c>
      <c r="AD239" s="75" t="s">
        <v>5150</v>
      </c>
      <c r="AE239" s="75" t="s">
        <v>5151</v>
      </c>
      <c r="AF239" s="75" t="s">
        <v>5168</v>
      </c>
      <c r="AG239" s="75" t="s">
        <v>5176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122"/>
        <v/>
      </c>
      <c r="E240" s="85"/>
      <c r="F240" s="80" t="str">
        <f t="shared" si="119"/>
        <v/>
      </c>
      <c r="G240" s="118"/>
      <c r="H240" s="80" t="str">
        <f t="shared" si="120"/>
        <v/>
      </c>
      <c r="I240" s="80" t="str">
        <f t="shared" si="121"/>
        <v/>
      </c>
      <c r="J240" s="117"/>
      <c r="K240" s="117"/>
      <c r="L240" s="117"/>
      <c r="M240" s="84"/>
      <c r="O240" s="75" t="str">
        <f t="shared" si="123"/>
        <v/>
      </c>
      <c r="P240" s="75" t="str">
        <f t="shared" si="124"/>
        <v/>
      </c>
      <c r="Q240" s="75" t="str">
        <f t="shared" si="125"/>
        <v/>
      </c>
      <c r="R240" s="75" t="str">
        <f t="shared" si="126"/>
        <v/>
      </c>
      <c r="AB240" s="75" t="s">
        <v>124</v>
      </c>
      <c r="AC240" s="75" t="s">
        <v>1739</v>
      </c>
      <c r="AD240" s="75" t="s">
        <v>5150</v>
      </c>
      <c r="AE240" s="75" t="s">
        <v>5151</v>
      </c>
      <c r="AF240" s="75" t="s">
        <v>5168</v>
      </c>
      <c r="AG240" s="75" t="s">
        <v>5176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122"/>
        <v/>
      </c>
      <c r="E241" s="85"/>
      <c r="F241" s="80" t="str">
        <f t="shared" si="119"/>
        <v/>
      </c>
      <c r="G241" s="118"/>
      <c r="H241" s="80" t="str">
        <f t="shared" si="120"/>
        <v/>
      </c>
      <c r="I241" s="80" t="str">
        <f t="shared" si="121"/>
        <v/>
      </c>
      <c r="J241" s="117"/>
      <c r="K241" s="117"/>
      <c r="L241" s="117"/>
      <c r="M241" s="84"/>
      <c r="O241" s="75" t="str">
        <f t="shared" si="123"/>
        <v/>
      </c>
      <c r="P241" s="75" t="str">
        <f t="shared" si="124"/>
        <v/>
      </c>
      <c r="Q241" s="75" t="str">
        <f t="shared" si="125"/>
        <v/>
      </c>
      <c r="R241" s="75" t="str">
        <f t="shared" si="126"/>
        <v/>
      </c>
      <c r="AB241" s="75" t="s">
        <v>130</v>
      </c>
      <c r="AC241" s="75" t="s">
        <v>1740</v>
      </c>
      <c r="AD241" s="75" t="s">
        <v>5150</v>
      </c>
      <c r="AE241" s="75" t="s">
        <v>5151</v>
      </c>
      <c r="AF241" s="75" t="s">
        <v>5168</v>
      </c>
      <c r="AG241" s="75" t="s">
        <v>5176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122"/>
        <v/>
      </c>
      <c r="E242" s="85"/>
      <c r="F242" s="80" t="str">
        <f t="shared" si="119"/>
        <v/>
      </c>
      <c r="G242" s="118"/>
      <c r="H242" s="80" t="str">
        <f t="shared" si="120"/>
        <v/>
      </c>
      <c r="I242" s="80" t="str">
        <f t="shared" si="121"/>
        <v/>
      </c>
      <c r="J242" s="117"/>
      <c r="K242" s="117"/>
      <c r="L242" s="117"/>
      <c r="M242" s="84"/>
      <c r="O242" s="75" t="str">
        <f t="shared" si="123"/>
        <v/>
      </c>
      <c r="P242" s="75" t="str">
        <f t="shared" si="124"/>
        <v/>
      </c>
      <c r="Q242" s="75" t="str">
        <f t="shared" si="125"/>
        <v/>
      </c>
      <c r="R242" s="75" t="str">
        <f t="shared" si="126"/>
        <v/>
      </c>
      <c r="AB242" s="75" t="s">
        <v>132</v>
      </c>
      <c r="AC242" s="75" t="s">
        <v>1741</v>
      </c>
      <c r="AD242" s="75" t="s">
        <v>5150</v>
      </c>
      <c r="AE242" s="75" t="s">
        <v>5151</v>
      </c>
      <c r="AF242" s="75" t="s">
        <v>5168</v>
      </c>
      <c r="AG242" s="75" t="s">
        <v>5176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122"/>
        <v/>
      </c>
      <c r="E243" s="85"/>
      <c r="F243" s="80" t="str">
        <f t="shared" si="119"/>
        <v/>
      </c>
      <c r="G243" s="118"/>
      <c r="H243" s="80" t="str">
        <f t="shared" si="120"/>
        <v/>
      </c>
      <c r="I243" s="80" t="str">
        <f t="shared" si="121"/>
        <v/>
      </c>
      <c r="J243" s="117"/>
      <c r="K243" s="117"/>
      <c r="L243" s="117"/>
      <c r="M243" s="84"/>
      <c r="O243" s="75" t="str">
        <f t="shared" si="123"/>
        <v/>
      </c>
      <c r="P243" s="75" t="str">
        <f t="shared" si="124"/>
        <v/>
      </c>
      <c r="Q243" s="75" t="str">
        <f t="shared" si="125"/>
        <v/>
      </c>
      <c r="R243" s="75" t="str">
        <f t="shared" si="126"/>
        <v/>
      </c>
      <c r="AB243" s="75" t="s">
        <v>134</v>
      </c>
      <c r="AC243" s="75" t="s">
        <v>1911</v>
      </c>
      <c r="AD243" s="75" t="s">
        <v>5150</v>
      </c>
      <c r="AE243" s="75" t="s">
        <v>5151</v>
      </c>
      <c r="AF243" s="75" t="s">
        <v>5168</v>
      </c>
      <c r="AG243" s="75" t="s">
        <v>5176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122"/>
        <v/>
      </c>
      <c r="E244" s="85"/>
      <c r="F244" s="80" t="str">
        <f t="shared" si="119"/>
        <v/>
      </c>
      <c r="G244" s="118"/>
      <c r="H244" s="80" t="str">
        <f t="shared" si="120"/>
        <v/>
      </c>
      <c r="I244" s="80" t="str">
        <f t="shared" si="121"/>
        <v/>
      </c>
      <c r="J244" s="117"/>
      <c r="K244" s="117"/>
      <c r="L244" s="117"/>
      <c r="M244" s="84"/>
      <c r="O244" s="75" t="str">
        <f t="shared" si="123"/>
        <v/>
      </c>
      <c r="P244" s="75" t="str">
        <f t="shared" si="124"/>
        <v/>
      </c>
      <c r="Q244" s="75" t="str">
        <f t="shared" si="125"/>
        <v/>
      </c>
      <c r="R244" s="75" t="str">
        <f t="shared" si="126"/>
        <v/>
      </c>
      <c r="AB244" s="75" t="s">
        <v>138</v>
      </c>
      <c r="AC244" s="75" t="s">
        <v>1912</v>
      </c>
      <c r="AD244" s="75" t="s">
        <v>5150</v>
      </c>
      <c r="AE244" s="75" t="s">
        <v>5151</v>
      </c>
      <c r="AF244" s="75" t="s">
        <v>5168</v>
      </c>
      <c r="AG244" s="75" t="s">
        <v>5176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122"/>
        <v/>
      </c>
      <c r="E245" s="85"/>
      <c r="F245" s="80" t="str">
        <f t="shared" si="119"/>
        <v/>
      </c>
      <c r="G245" s="118"/>
      <c r="H245" s="80" t="str">
        <f t="shared" si="120"/>
        <v/>
      </c>
      <c r="I245" s="80" t="str">
        <f t="shared" si="121"/>
        <v/>
      </c>
      <c r="J245" s="117"/>
      <c r="K245" s="117"/>
      <c r="L245" s="117"/>
      <c r="M245" s="84"/>
      <c r="O245" s="75" t="str">
        <f t="shared" si="123"/>
        <v/>
      </c>
      <c r="P245" s="75" t="str">
        <f t="shared" si="124"/>
        <v/>
      </c>
      <c r="Q245" s="75" t="str">
        <f t="shared" si="125"/>
        <v/>
      </c>
      <c r="R245" s="75" t="str">
        <f t="shared" si="126"/>
        <v/>
      </c>
      <c r="AB245" s="75" t="s">
        <v>1655</v>
      </c>
      <c r="AC245" s="75" t="s">
        <v>1656</v>
      </c>
      <c r="AD245" s="75" t="s">
        <v>5150</v>
      </c>
      <c r="AE245" s="75" t="s">
        <v>5151</v>
      </c>
      <c r="AF245" s="75" t="s">
        <v>5168</v>
      </c>
      <c r="AG245" s="75" t="s">
        <v>5176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122"/>
        <v/>
      </c>
      <c r="E246" s="85"/>
      <c r="F246" s="80" t="str">
        <f t="shared" si="119"/>
        <v/>
      </c>
      <c r="G246" s="118"/>
      <c r="H246" s="80" t="str">
        <f t="shared" si="120"/>
        <v/>
      </c>
      <c r="I246" s="80" t="str">
        <f t="shared" si="121"/>
        <v/>
      </c>
      <c r="J246" s="117"/>
      <c r="K246" s="117"/>
      <c r="L246" s="117"/>
      <c r="M246" s="84"/>
      <c r="O246" s="75" t="str">
        <f t="shared" si="123"/>
        <v/>
      </c>
      <c r="P246" s="75" t="str">
        <f t="shared" si="124"/>
        <v/>
      </c>
      <c r="Q246" s="75" t="str">
        <f t="shared" si="125"/>
        <v/>
      </c>
      <c r="R246" s="75" t="str">
        <f t="shared" si="126"/>
        <v/>
      </c>
      <c r="AB246" s="75" t="s">
        <v>142</v>
      </c>
      <c r="AC246" s="75" t="s">
        <v>143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122"/>
        <v/>
      </c>
      <c r="E247" s="85"/>
      <c r="F247" s="80" t="str">
        <f t="shared" si="119"/>
        <v/>
      </c>
      <c r="G247" s="118"/>
      <c r="H247" s="80" t="str">
        <f t="shared" si="120"/>
        <v/>
      </c>
      <c r="I247" s="80" t="str">
        <f t="shared" si="121"/>
        <v/>
      </c>
      <c r="J247" s="117"/>
      <c r="K247" s="117"/>
      <c r="L247" s="117"/>
      <c r="M247" s="84"/>
      <c r="O247" s="75" t="str">
        <f t="shared" si="123"/>
        <v/>
      </c>
      <c r="P247" s="75" t="str">
        <f t="shared" si="124"/>
        <v/>
      </c>
      <c r="Q247" s="75" t="str">
        <f t="shared" si="125"/>
        <v/>
      </c>
      <c r="R247" s="75" t="str">
        <f t="shared" si="126"/>
        <v/>
      </c>
      <c r="AB247" s="75" t="s">
        <v>142</v>
      </c>
      <c r="AC247" s="75" t="s">
        <v>143</v>
      </c>
      <c r="AD247" s="75" t="s">
        <v>5160</v>
      </c>
      <c r="AE247" s="75" t="s">
        <v>5161</v>
      </c>
      <c r="AF247" s="75" t="s">
        <v>5168</v>
      </c>
      <c r="AG247" s="75" t="s">
        <v>5181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122"/>
        <v/>
      </c>
      <c r="E248" s="85"/>
      <c r="F248" s="80" t="str">
        <f t="shared" si="119"/>
        <v/>
      </c>
      <c r="G248" s="118"/>
      <c r="H248" s="80" t="str">
        <f t="shared" si="120"/>
        <v/>
      </c>
      <c r="I248" s="80" t="str">
        <f t="shared" si="121"/>
        <v/>
      </c>
      <c r="J248" s="117"/>
      <c r="K248" s="117"/>
      <c r="L248" s="117"/>
      <c r="M248" s="84"/>
      <c r="O248" s="75" t="str">
        <f t="shared" si="123"/>
        <v/>
      </c>
      <c r="P248" s="75" t="str">
        <f t="shared" si="124"/>
        <v/>
      </c>
      <c r="Q248" s="75" t="str">
        <f t="shared" si="125"/>
        <v/>
      </c>
      <c r="R248" s="75" t="str">
        <f t="shared" si="126"/>
        <v/>
      </c>
      <c r="AB248" s="75" t="s">
        <v>144</v>
      </c>
      <c r="AC248" s="75" t="s">
        <v>1742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122"/>
        <v/>
      </c>
      <c r="E249" s="85"/>
      <c r="F249" s="80" t="str">
        <f t="shared" si="119"/>
        <v/>
      </c>
      <c r="G249" s="118"/>
      <c r="H249" s="80" t="str">
        <f t="shared" si="120"/>
        <v/>
      </c>
      <c r="I249" s="80" t="str">
        <f t="shared" si="121"/>
        <v/>
      </c>
      <c r="J249" s="117"/>
      <c r="K249" s="117"/>
      <c r="L249" s="117"/>
      <c r="M249" s="84"/>
      <c r="O249" s="75" t="str">
        <f t="shared" si="123"/>
        <v/>
      </c>
      <c r="P249" s="75" t="str">
        <f t="shared" si="124"/>
        <v/>
      </c>
      <c r="Q249" s="75" t="str">
        <f t="shared" si="125"/>
        <v/>
      </c>
      <c r="R249" s="75" t="str">
        <f t="shared" si="126"/>
        <v/>
      </c>
      <c r="AB249" s="75" t="s">
        <v>145</v>
      </c>
      <c r="AC249" s="75" t="s">
        <v>1234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122"/>
        <v/>
      </c>
      <c r="E250" s="85"/>
      <c r="F250" s="80" t="str">
        <f t="shared" si="119"/>
        <v/>
      </c>
      <c r="G250" s="118"/>
      <c r="H250" s="80" t="str">
        <f t="shared" si="120"/>
        <v/>
      </c>
      <c r="I250" s="80" t="str">
        <f t="shared" si="121"/>
        <v/>
      </c>
      <c r="J250" s="117"/>
      <c r="K250" s="117"/>
      <c r="L250" s="117"/>
      <c r="M250" s="84"/>
      <c r="O250" s="75" t="str">
        <f t="shared" si="123"/>
        <v/>
      </c>
      <c r="P250" s="75" t="str">
        <f t="shared" si="124"/>
        <v/>
      </c>
      <c r="Q250" s="75" t="str">
        <f t="shared" si="125"/>
        <v/>
      </c>
      <c r="R250" s="75" t="str">
        <f t="shared" si="126"/>
        <v/>
      </c>
      <c r="AB250" s="75" t="s">
        <v>174</v>
      </c>
      <c r="AC250" s="75" t="s">
        <v>1235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122"/>
        <v/>
      </c>
      <c r="E251" s="85"/>
      <c r="F251" s="80" t="str">
        <f t="shared" si="119"/>
        <v/>
      </c>
      <c r="G251" s="118"/>
      <c r="H251" s="80" t="str">
        <f t="shared" si="120"/>
        <v/>
      </c>
      <c r="I251" s="80" t="str">
        <f t="shared" si="121"/>
        <v/>
      </c>
      <c r="J251" s="117"/>
      <c r="K251" s="117"/>
      <c r="L251" s="117"/>
      <c r="M251" s="84"/>
      <c r="O251" s="75" t="str">
        <f t="shared" si="123"/>
        <v/>
      </c>
      <c r="P251" s="75" t="str">
        <f t="shared" si="124"/>
        <v/>
      </c>
      <c r="Q251" s="75" t="str">
        <f t="shared" si="125"/>
        <v/>
      </c>
      <c r="R251" s="75" t="str">
        <f t="shared" si="126"/>
        <v/>
      </c>
      <c r="AB251" s="75" t="s">
        <v>177</v>
      </c>
      <c r="AC251" s="75" t="s">
        <v>1236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122"/>
        <v/>
      </c>
      <c r="E252" s="85"/>
      <c r="F252" s="80" t="str">
        <f t="shared" si="119"/>
        <v/>
      </c>
      <c r="G252" s="118"/>
      <c r="H252" s="80" t="str">
        <f t="shared" si="120"/>
        <v/>
      </c>
      <c r="I252" s="80" t="str">
        <f t="shared" si="121"/>
        <v/>
      </c>
      <c r="J252" s="117"/>
      <c r="K252" s="117"/>
      <c r="L252" s="117"/>
      <c r="M252" s="84"/>
      <c r="O252" s="75" t="str">
        <f t="shared" si="123"/>
        <v/>
      </c>
      <c r="P252" s="75" t="str">
        <f t="shared" si="124"/>
        <v/>
      </c>
      <c r="Q252" s="75" t="str">
        <f t="shared" si="125"/>
        <v/>
      </c>
      <c r="R252" s="75" t="str">
        <f t="shared" si="126"/>
        <v/>
      </c>
      <c r="AB252" s="75" t="s">
        <v>180</v>
      </c>
      <c r="AC252" s="75" t="s">
        <v>1237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122"/>
        <v/>
      </c>
      <c r="E253" s="85"/>
      <c r="F253" s="80" t="str">
        <f t="shared" si="119"/>
        <v/>
      </c>
      <c r="G253" s="118"/>
      <c r="H253" s="80" t="str">
        <f t="shared" si="120"/>
        <v/>
      </c>
      <c r="I253" s="80" t="str">
        <f t="shared" si="121"/>
        <v/>
      </c>
      <c r="J253" s="117"/>
      <c r="K253" s="117"/>
      <c r="L253" s="117"/>
      <c r="M253" s="84"/>
      <c r="O253" s="75" t="str">
        <f t="shared" si="123"/>
        <v/>
      </c>
      <c r="P253" s="75" t="str">
        <f t="shared" si="124"/>
        <v/>
      </c>
      <c r="Q253" s="75" t="str">
        <f t="shared" si="125"/>
        <v/>
      </c>
      <c r="R253" s="75" t="str">
        <f t="shared" si="126"/>
        <v/>
      </c>
      <c r="AB253" s="75" t="s">
        <v>184</v>
      </c>
      <c r="AC253" s="75" t="s">
        <v>1238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122"/>
        <v/>
      </c>
      <c r="E254" s="85"/>
      <c r="F254" s="80" t="str">
        <f t="shared" si="119"/>
        <v/>
      </c>
      <c r="G254" s="118"/>
      <c r="H254" s="80" t="str">
        <f t="shared" si="120"/>
        <v/>
      </c>
      <c r="I254" s="80" t="str">
        <f t="shared" si="121"/>
        <v/>
      </c>
      <c r="J254" s="117"/>
      <c r="K254" s="117"/>
      <c r="L254" s="117"/>
      <c r="M254" s="84"/>
      <c r="O254" s="75" t="str">
        <f t="shared" si="123"/>
        <v/>
      </c>
      <c r="P254" s="75" t="str">
        <f t="shared" si="124"/>
        <v/>
      </c>
      <c r="Q254" s="75" t="str">
        <f t="shared" si="125"/>
        <v/>
      </c>
      <c r="R254" s="75" t="str">
        <f t="shared" si="126"/>
        <v/>
      </c>
      <c r="AB254" s="75" t="s">
        <v>185</v>
      </c>
      <c r="AC254" s="75" t="s">
        <v>1239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122"/>
        <v/>
      </c>
      <c r="E255" s="85"/>
      <c r="F255" s="80" t="str">
        <f t="shared" si="119"/>
        <v/>
      </c>
      <c r="G255" s="118"/>
      <c r="H255" s="80" t="str">
        <f t="shared" si="120"/>
        <v/>
      </c>
      <c r="I255" s="80" t="str">
        <f t="shared" si="121"/>
        <v/>
      </c>
      <c r="J255" s="117"/>
      <c r="K255" s="117"/>
      <c r="L255" s="117"/>
      <c r="M255" s="84"/>
      <c r="O255" s="75" t="str">
        <f t="shared" si="123"/>
        <v/>
      </c>
      <c r="P255" s="75" t="str">
        <f t="shared" si="124"/>
        <v/>
      </c>
      <c r="Q255" s="75" t="str">
        <f t="shared" si="125"/>
        <v/>
      </c>
      <c r="R255" s="75" t="str">
        <f t="shared" si="126"/>
        <v/>
      </c>
      <c r="AB255" s="75" t="s">
        <v>187</v>
      </c>
      <c r="AC255" s="75" t="s">
        <v>1240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122"/>
        <v/>
      </c>
      <c r="E256" s="85"/>
      <c r="F256" s="80" t="str">
        <f t="shared" si="119"/>
        <v/>
      </c>
      <c r="G256" s="118"/>
      <c r="H256" s="80" t="str">
        <f t="shared" si="120"/>
        <v/>
      </c>
      <c r="I256" s="80" t="str">
        <f t="shared" si="121"/>
        <v/>
      </c>
      <c r="J256" s="117"/>
      <c r="K256" s="117"/>
      <c r="L256" s="117"/>
      <c r="M256" s="84"/>
      <c r="O256" s="75" t="str">
        <f t="shared" si="123"/>
        <v/>
      </c>
      <c r="P256" s="75" t="str">
        <f t="shared" si="124"/>
        <v/>
      </c>
      <c r="Q256" s="75" t="str">
        <f t="shared" si="125"/>
        <v/>
      </c>
      <c r="R256" s="75" t="str">
        <f t="shared" si="126"/>
        <v/>
      </c>
      <c r="AB256" s="75" t="s">
        <v>193</v>
      </c>
      <c r="AC256" s="75" t="s">
        <v>1241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122"/>
        <v/>
      </c>
      <c r="E257" s="85"/>
      <c r="F257" s="80" t="str">
        <f t="shared" si="119"/>
        <v/>
      </c>
      <c r="G257" s="118"/>
      <c r="H257" s="80" t="str">
        <f t="shared" si="120"/>
        <v/>
      </c>
      <c r="I257" s="80" t="str">
        <f t="shared" si="121"/>
        <v/>
      </c>
      <c r="J257" s="117"/>
      <c r="K257" s="117"/>
      <c r="L257" s="117"/>
      <c r="M257" s="84"/>
      <c r="O257" s="75" t="str">
        <f t="shared" si="123"/>
        <v/>
      </c>
      <c r="P257" s="75" t="str">
        <f t="shared" si="124"/>
        <v/>
      </c>
      <c r="Q257" s="75" t="str">
        <f t="shared" si="125"/>
        <v/>
      </c>
      <c r="R257" s="75" t="str">
        <f t="shared" si="126"/>
        <v/>
      </c>
      <c r="AB257" s="75" t="s">
        <v>194</v>
      </c>
      <c r="AC257" s="75" t="s">
        <v>1242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122"/>
        <v/>
      </c>
      <c r="E258" s="85"/>
      <c r="F258" s="80" t="str">
        <f t="shared" si="119"/>
        <v/>
      </c>
      <c r="G258" s="118"/>
      <c r="H258" s="80" t="str">
        <f t="shared" si="120"/>
        <v/>
      </c>
      <c r="I258" s="80" t="str">
        <f t="shared" si="121"/>
        <v/>
      </c>
      <c r="J258" s="117"/>
      <c r="K258" s="117"/>
      <c r="L258" s="117"/>
      <c r="M258" s="84"/>
      <c r="O258" s="75" t="str">
        <f t="shared" si="123"/>
        <v/>
      </c>
      <c r="P258" s="75" t="str">
        <f t="shared" si="124"/>
        <v/>
      </c>
      <c r="Q258" s="75" t="str">
        <f t="shared" si="125"/>
        <v/>
      </c>
      <c r="R258" s="75" t="str">
        <f t="shared" si="126"/>
        <v/>
      </c>
      <c r="AB258" s="75" t="s">
        <v>1913</v>
      </c>
      <c r="AC258" s="75" t="s">
        <v>1914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122"/>
        <v/>
      </c>
      <c r="E259" s="85"/>
      <c r="F259" s="80" t="str">
        <f t="shared" si="119"/>
        <v/>
      </c>
      <c r="G259" s="118"/>
      <c r="H259" s="80" t="str">
        <f t="shared" si="120"/>
        <v/>
      </c>
      <c r="I259" s="80" t="str">
        <f t="shared" si="121"/>
        <v/>
      </c>
      <c r="J259" s="117"/>
      <c r="K259" s="117"/>
      <c r="L259" s="117"/>
      <c r="M259" s="84"/>
      <c r="O259" s="75" t="str">
        <f t="shared" si="123"/>
        <v/>
      </c>
      <c r="P259" s="75" t="str">
        <f t="shared" si="124"/>
        <v/>
      </c>
      <c r="Q259" s="75" t="str">
        <f t="shared" si="125"/>
        <v/>
      </c>
      <c r="R259" s="75" t="str">
        <f t="shared" si="126"/>
        <v/>
      </c>
      <c r="AB259" s="75" t="s">
        <v>670</v>
      </c>
      <c r="AC259" s="75" t="s">
        <v>671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122"/>
        <v/>
      </c>
      <c r="E260" s="85"/>
      <c r="F260" s="80" t="str">
        <f t="shared" si="119"/>
        <v/>
      </c>
      <c r="G260" s="118"/>
      <c r="H260" s="80" t="str">
        <f t="shared" si="120"/>
        <v/>
      </c>
      <c r="I260" s="80" t="str">
        <f t="shared" si="121"/>
        <v/>
      </c>
      <c r="J260" s="117"/>
      <c r="K260" s="117"/>
      <c r="L260" s="117"/>
      <c r="M260" s="84"/>
      <c r="O260" s="75" t="str">
        <f t="shared" si="123"/>
        <v/>
      </c>
      <c r="P260" s="75" t="str">
        <f t="shared" si="124"/>
        <v/>
      </c>
      <c r="Q260" s="75" t="str">
        <f t="shared" si="125"/>
        <v/>
      </c>
      <c r="R260" s="75" t="str">
        <f t="shared" si="126"/>
        <v/>
      </c>
      <c r="AB260" s="75" t="s">
        <v>1657</v>
      </c>
      <c r="AC260" s="75" t="s">
        <v>1915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122"/>
        <v/>
      </c>
      <c r="E261" s="85"/>
      <c r="F261" s="80" t="str">
        <f t="shared" ref="F261:F324" si="127">IFERROR(VLOOKUP(E261,$V$5:$X$203,2,FALSE),"")</f>
        <v/>
      </c>
      <c r="G261" s="118"/>
      <c r="H261" s="80" t="str">
        <f t="shared" ref="H261:H324" si="128">IFERROR(VLOOKUP(G261,$AB$7:$AC$401,2,FALSE),"")</f>
        <v/>
      </c>
      <c r="I261" s="80" t="str">
        <f t="shared" ref="I261:I324" si="129">IFERROR(VLOOKUP(G261,$AB$7:$AF$401,3,FALSE),"")</f>
        <v/>
      </c>
      <c r="J261" s="117"/>
      <c r="K261" s="117"/>
      <c r="L261" s="117"/>
      <c r="M261" s="84"/>
      <c r="O261" s="75" t="str">
        <f t="shared" si="123"/>
        <v/>
      </c>
      <c r="P261" s="75" t="str">
        <f t="shared" si="124"/>
        <v/>
      </c>
      <c r="Q261" s="75" t="str">
        <f t="shared" si="125"/>
        <v/>
      </c>
      <c r="R261" s="75" t="str">
        <f t="shared" si="126"/>
        <v/>
      </c>
      <c r="AB261" s="75" t="s">
        <v>1744</v>
      </c>
      <c r="AC261" s="75" t="s">
        <v>1916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122"/>
        <v/>
      </c>
      <c r="E262" s="85"/>
      <c r="F262" s="80" t="str">
        <f t="shared" si="127"/>
        <v/>
      </c>
      <c r="G262" s="118"/>
      <c r="H262" s="80" t="str">
        <f t="shared" si="128"/>
        <v/>
      </c>
      <c r="I262" s="80" t="str">
        <f t="shared" si="129"/>
        <v/>
      </c>
      <c r="J262" s="117"/>
      <c r="K262" s="117"/>
      <c r="L262" s="117"/>
      <c r="M262" s="84"/>
      <c r="O262" s="75" t="str">
        <f t="shared" si="123"/>
        <v/>
      </c>
      <c r="P262" s="75" t="str">
        <f t="shared" si="124"/>
        <v/>
      </c>
      <c r="Q262" s="75" t="str">
        <f t="shared" si="125"/>
        <v/>
      </c>
      <c r="R262" s="75" t="str">
        <f t="shared" si="126"/>
        <v/>
      </c>
      <c r="AB262" s="75" t="s">
        <v>1917</v>
      </c>
      <c r="AC262" s="75" t="s">
        <v>1918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122"/>
        <v/>
      </c>
      <c r="E263" s="85"/>
      <c r="F263" s="80" t="str">
        <f t="shared" si="127"/>
        <v/>
      </c>
      <c r="G263" s="118"/>
      <c r="H263" s="80" t="str">
        <f t="shared" si="128"/>
        <v/>
      </c>
      <c r="I263" s="80" t="str">
        <f t="shared" si="129"/>
        <v/>
      </c>
      <c r="J263" s="117"/>
      <c r="K263" s="117"/>
      <c r="L263" s="117"/>
      <c r="M263" s="84"/>
      <c r="O263" s="75" t="str">
        <f t="shared" si="123"/>
        <v/>
      </c>
      <c r="P263" s="75" t="str">
        <f t="shared" si="124"/>
        <v/>
      </c>
      <c r="Q263" s="75" t="str">
        <f t="shared" si="125"/>
        <v/>
      </c>
      <c r="R263" s="75" t="str">
        <f t="shared" si="126"/>
        <v/>
      </c>
      <c r="AB263" s="75" t="s">
        <v>1919</v>
      </c>
      <c r="AC263" s="75" t="s">
        <v>1920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122"/>
        <v/>
      </c>
      <c r="E264" s="85"/>
      <c r="F264" s="80" t="str">
        <f t="shared" si="127"/>
        <v/>
      </c>
      <c r="G264" s="118"/>
      <c r="H264" s="80" t="str">
        <f t="shared" si="128"/>
        <v/>
      </c>
      <c r="I264" s="80" t="str">
        <f t="shared" si="129"/>
        <v/>
      </c>
      <c r="J264" s="117"/>
      <c r="K264" s="117"/>
      <c r="L264" s="117"/>
      <c r="M264" s="84"/>
      <c r="O264" s="75" t="str">
        <f t="shared" si="123"/>
        <v/>
      </c>
      <c r="P264" s="75" t="str">
        <f t="shared" si="124"/>
        <v/>
      </c>
      <c r="Q264" s="75" t="str">
        <f t="shared" si="125"/>
        <v/>
      </c>
      <c r="R264" s="75" t="str">
        <f t="shared" si="126"/>
        <v/>
      </c>
      <c r="AB264" s="75" t="s">
        <v>3487</v>
      </c>
      <c r="AC264" s="75" t="s">
        <v>3488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122"/>
        <v/>
      </c>
      <c r="E265" s="85"/>
      <c r="F265" s="80" t="str">
        <f t="shared" si="127"/>
        <v/>
      </c>
      <c r="G265" s="118"/>
      <c r="H265" s="80" t="str">
        <f t="shared" si="128"/>
        <v/>
      </c>
      <c r="I265" s="80" t="str">
        <f t="shared" si="129"/>
        <v/>
      </c>
      <c r="J265" s="117"/>
      <c r="K265" s="117"/>
      <c r="L265" s="117"/>
      <c r="M265" s="84"/>
      <c r="O265" s="75" t="str">
        <f t="shared" si="123"/>
        <v/>
      </c>
      <c r="P265" s="75" t="str">
        <f t="shared" si="124"/>
        <v/>
      </c>
      <c r="Q265" s="75" t="str">
        <f t="shared" si="125"/>
        <v/>
      </c>
      <c r="R265" s="75" t="str">
        <f t="shared" si="126"/>
        <v/>
      </c>
      <c r="AB265" s="75" t="s">
        <v>676</v>
      </c>
      <c r="AC265" s="75" t="s">
        <v>677</v>
      </c>
      <c r="AD265" s="75" t="s">
        <v>5150</v>
      </c>
      <c r="AE265" s="75" t="s">
        <v>5151</v>
      </c>
      <c r="AF265" s="75" t="s">
        <v>5168</v>
      </c>
      <c r="AG265" s="75" t="s">
        <v>5176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122"/>
        <v/>
      </c>
      <c r="E266" s="85"/>
      <c r="F266" s="80" t="str">
        <f t="shared" si="127"/>
        <v/>
      </c>
      <c r="G266" s="118"/>
      <c r="H266" s="80" t="str">
        <f t="shared" si="128"/>
        <v/>
      </c>
      <c r="I266" s="80" t="str">
        <f t="shared" si="129"/>
        <v/>
      </c>
      <c r="J266" s="117"/>
      <c r="K266" s="117"/>
      <c r="L266" s="117"/>
      <c r="M266" s="84"/>
      <c r="O266" s="75" t="str">
        <f t="shared" si="123"/>
        <v/>
      </c>
      <c r="P266" s="75" t="str">
        <f t="shared" si="124"/>
        <v/>
      </c>
      <c r="Q266" s="75" t="str">
        <f t="shared" si="125"/>
        <v/>
      </c>
      <c r="R266" s="75" t="str">
        <f t="shared" si="126"/>
        <v/>
      </c>
      <c r="AB266" s="75" t="s">
        <v>233</v>
      </c>
      <c r="AC266" s="75" t="s">
        <v>1652</v>
      </c>
      <c r="AD266" s="75" t="s">
        <v>5150</v>
      </c>
      <c r="AE266" s="75" t="s">
        <v>5151</v>
      </c>
      <c r="AF266" s="75" t="s">
        <v>5168</v>
      </c>
      <c r="AG266" s="75" t="s">
        <v>5176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ref="D267:D330" si="130">IFERROR(VLOOKUP(C267,$S$7:$T$48,2,FALSE),"")</f>
        <v/>
      </c>
      <c r="E267" s="85"/>
      <c r="F267" s="80" t="str">
        <f t="shared" si="127"/>
        <v/>
      </c>
      <c r="G267" s="118"/>
      <c r="H267" s="80" t="str">
        <f t="shared" si="128"/>
        <v/>
      </c>
      <c r="I267" s="80" t="str">
        <f t="shared" si="129"/>
        <v/>
      </c>
      <c r="J267" s="117"/>
      <c r="K267" s="117"/>
      <c r="L267" s="117"/>
      <c r="M267" s="84"/>
      <c r="O267" s="75" t="str">
        <f t="shared" si="123"/>
        <v/>
      </c>
      <c r="P267" s="75" t="str">
        <f t="shared" si="124"/>
        <v/>
      </c>
      <c r="Q267" s="75" t="str">
        <f t="shared" si="125"/>
        <v/>
      </c>
      <c r="R267" s="75" t="str">
        <f t="shared" si="126"/>
        <v/>
      </c>
      <c r="AB267" s="75" t="s">
        <v>683</v>
      </c>
      <c r="AC267" s="75" t="s">
        <v>684</v>
      </c>
      <c r="AD267" s="75" t="s">
        <v>5150</v>
      </c>
      <c r="AE267" s="75" t="s">
        <v>5151</v>
      </c>
      <c r="AF267" s="75" t="s">
        <v>5168</v>
      </c>
      <c r="AG267" s="75" t="s">
        <v>5176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130"/>
        <v/>
      </c>
      <c r="E268" s="85"/>
      <c r="F268" s="80" t="str">
        <f t="shared" si="127"/>
        <v/>
      </c>
      <c r="G268" s="118"/>
      <c r="H268" s="80" t="str">
        <f t="shared" si="128"/>
        <v/>
      </c>
      <c r="I268" s="80" t="str">
        <f t="shared" si="129"/>
        <v/>
      </c>
      <c r="J268" s="117"/>
      <c r="K268" s="117"/>
      <c r="L268" s="117"/>
      <c r="M268" s="84"/>
      <c r="O268" s="75" t="str">
        <f t="shared" si="123"/>
        <v/>
      </c>
      <c r="P268" s="75" t="str">
        <f t="shared" si="124"/>
        <v/>
      </c>
      <c r="Q268" s="75" t="str">
        <f t="shared" si="125"/>
        <v/>
      </c>
      <c r="R268" s="75" t="str">
        <f t="shared" si="126"/>
        <v/>
      </c>
      <c r="AB268" s="75" t="s">
        <v>1999</v>
      </c>
      <c r="AC268" s="75" t="s">
        <v>1993</v>
      </c>
      <c r="AD268" s="75" t="s">
        <v>5150</v>
      </c>
      <c r="AE268" s="75" t="s">
        <v>5151</v>
      </c>
      <c r="AF268" s="75" t="s">
        <v>5168</v>
      </c>
      <c r="AG268" s="75" t="s">
        <v>5176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130"/>
        <v/>
      </c>
      <c r="E269" s="85"/>
      <c r="F269" s="80" t="str">
        <f t="shared" si="127"/>
        <v/>
      </c>
      <c r="G269" s="118"/>
      <c r="H269" s="80" t="str">
        <f t="shared" si="128"/>
        <v/>
      </c>
      <c r="I269" s="80" t="str">
        <f t="shared" si="129"/>
        <v/>
      </c>
      <c r="J269" s="117"/>
      <c r="K269" s="117"/>
      <c r="L269" s="117"/>
      <c r="M269" s="84"/>
      <c r="O269" s="75" t="str">
        <f t="shared" si="123"/>
        <v/>
      </c>
      <c r="P269" s="75" t="str">
        <f t="shared" si="124"/>
        <v/>
      </c>
      <c r="Q269" s="75" t="str">
        <f t="shared" si="125"/>
        <v/>
      </c>
      <c r="R269" s="75" t="str">
        <f t="shared" si="126"/>
        <v/>
      </c>
      <c r="AB269" s="75" t="s">
        <v>2000</v>
      </c>
      <c r="AC269" s="75" t="s">
        <v>3476</v>
      </c>
      <c r="AD269" s="75" t="s">
        <v>5150</v>
      </c>
      <c r="AE269" s="75" t="s">
        <v>5151</v>
      </c>
      <c r="AF269" s="75" t="s">
        <v>5168</v>
      </c>
      <c r="AG269" s="75" t="s">
        <v>5176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130"/>
        <v/>
      </c>
      <c r="E270" s="85"/>
      <c r="F270" s="80" t="str">
        <f t="shared" si="127"/>
        <v/>
      </c>
      <c r="G270" s="118"/>
      <c r="H270" s="80" t="str">
        <f t="shared" si="128"/>
        <v/>
      </c>
      <c r="I270" s="80" t="str">
        <f t="shared" si="129"/>
        <v/>
      </c>
      <c r="J270" s="117"/>
      <c r="K270" s="117"/>
      <c r="L270" s="117"/>
      <c r="M270" s="84"/>
      <c r="O270" s="75" t="str">
        <f t="shared" ref="O270:O333" si="131">LEFT(E270,3)</f>
        <v/>
      </c>
      <c r="P270" s="75" t="str">
        <f t="shared" ref="P270:P333" si="132">LEFT(E270,2)</f>
        <v/>
      </c>
      <c r="Q270" s="75" t="str">
        <f t="shared" ref="Q270:Q333" si="133">LEFT(C270,3)</f>
        <v/>
      </c>
      <c r="R270" s="75" t="str">
        <f t="shared" ref="R270:R333" si="134">MID(I270,2,2)</f>
        <v/>
      </c>
      <c r="AB270" s="75" t="s">
        <v>3489</v>
      </c>
      <c r="AC270" s="75" t="s">
        <v>3490</v>
      </c>
      <c r="AD270" s="75" t="s">
        <v>5150</v>
      </c>
      <c r="AE270" s="75" t="s">
        <v>5151</v>
      </c>
      <c r="AF270" s="75" t="s">
        <v>5168</v>
      </c>
      <c r="AG270" s="75" t="s">
        <v>5176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130"/>
        <v/>
      </c>
      <c r="E271" s="85"/>
      <c r="F271" s="80" t="str">
        <f t="shared" si="127"/>
        <v/>
      </c>
      <c r="G271" s="118"/>
      <c r="H271" s="80" t="str">
        <f t="shared" si="128"/>
        <v/>
      </c>
      <c r="I271" s="80" t="str">
        <f t="shared" si="129"/>
        <v/>
      </c>
      <c r="J271" s="117"/>
      <c r="K271" s="117"/>
      <c r="L271" s="117"/>
      <c r="M271" s="84"/>
      <c r="O271" s="75" t="str">
        <f t="shared" si="131"/>
        <v/>
      </c>
      <c r="P271" s="75" t="str">
        <f t="shared" si="132"/>
        <v/>
      </c>
      <c r="Q271" s="75" t="str">
        <f t="shared" si="133"/>
        <v/>
      </c>
      <c r="R271" s="75" t="str">
        <f t="shared" si="134"/>
        <v/>
      </c>
      <c r="AB271" s="75" t="s">
        <v>687</v>
      </c>
      <c r="AC271" s="75" t="s">
        <v>688</v>
      </c>
      <c r="AD271" s="75" t="s">
        <v>5144</v>
      </c>
      <c r="AE271" s="75" t="s">
        <v>5145</v>
      </c>
      <c r="AF271" s="75" t="s">
        <v>5170</v>
      </c>
      <c r="AG271" s="75" t="s">
        <v>5171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130"/>
        <v/>
      </c>
      <c r="E272" s="85"/>
      <c r="F272" s="80" t="str">
        <f t="shared" si="127"/>
        <v/>
      </c>
      <c r="G272" s="118"/>
      <c r="H272" s="80" t="str">
        <f t="shared" si="128"/>
        <v/>
      </c>
      <c r="I272" s="80" t="str">
        <f t="shared" si="129"/>
        <v/>
      </c>
      <c r="J272" s="117"/>
      <c r="K272" s="117"/>
      <c r="L272" s="117"/>
      <c r="M272" s="84"/>
      <c r="O272" s="75" t="str">
        <f t="shared" si="131"/>
        <v/>
      </c>
      <c r="P272" s="75" t="str">
        <f t="shared" si="132"/>
        <v/>
      </c>
      <c r="Q272" s="75" t="str">
        <f t="shared" si="133"/>
        <v/>
      </c>
      <c r="R272" s="75" t="str">
        <f t="shared" si="134"/>
        <v/>
      </c>
      <c r="AB272" s="75" t="s">
        <v>689</v>
      </c>
      <c r="AC272" s="75" t="s">
        <v>690</v>
      </c>
      <c r="AD272" s="75" t="s">
        <v>5144</v>
      </c>
      <c r="AE272" s="75" t="s">
        <v>5145</v>
      </c>
      <c r="AF272" s="75" t="s">
        <v>5170</v>
      </c>
      <c r="AG272" s="75" t="s">
        <v>5171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130"/>
        <v/>
      </c>
      <c r="E273" s="85"/>
      <c r="F273" s="80" t="str">
        <f t="shared" si="127"/>
        <v/>
      </c>
      <c r="G273" s="118"/>
      <c r="H273" s="80" t="str">
        <f t="shared" si="128"/>
        <v/>
      </c>
      <c r="I273" s="80" t="str">
        <f t="shared" si="129"/>
        <v/>
      </c>
      <c r="J273" s="117"/>
      <c r="K273" s="117"/>
      <c r="L273" s="117"/>
      <c r="M273" s="84"/>
      <c r="O273" s="75" t="str">
        <f t="shared" si="131"/>
        <v/>
      </c>
      <c r="P273" s="75" t="str">
        <f t="shared" si="132"/>
        <v/>
      </c>
      <c r="Q273" s="75" t="str">
        <f t="shared" si="133"/>
        <v/>
      </c>
      <c r="R273" s="75" t="str">
        <f t="shared" si="134"/>
        <v/>
      </c>
      <c r="AB273" s="75" t="s">
        <v>937</v>
      </c>
      <c r="AC273" s="75" t="s">
        <v>938</v>
      </c>
      <c r="AD273" s="75" t="s">
        <v>5144</v>
      </c>
      <c r="AE273" s="75" t="s">
        <v>5145</v>
      </c>
      <c r="AF273" s="75" t="s">
        <v>5170</v>
      </c>
      <c r="AG273" s="75" t="s">
        <v>5171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130"/>
        <v/>
      </c>
      <c r="E274" s="85"/>
      <c r="F274" s="80" t="str">
        <f t="shared" si="127"/>
        <v/>
      </c>
      <c r="G274" s="118"/>
      <c r="H274" s="80" t="str">
        <f t="shared" si="128"/>
        <v/>
      </c>
      <c r="I274" s="80" t="str">
        <f t="shared" si="129"/>
        <v/>
      </c>
      <c r="J274" s="117"/>
      <c r="K274" s="117"/>
      <c r="L274" s="117"/>
      <c r="M274" s="84"/>
      <c r="O274" s="75" t="str">
        <f t="shared" si="131"/>
        <v/>
      </c>
      <c r="P274" s="75" t="str">
        <f t="shared" si="132"/>
        <v/>
      </c>
      <c r="Q274" s="75" t="str">
        <f t="shared" si="133"/>
        <v/>
      </c>
      <c r="R274" s="75" t="str">
        <f t="shared" si="134"/>
        <v/>
      </c>
      <c r="AB274" s="75" t="s">
        <v>691</v>
      </c>
      <c r="AC274" s="75" t="s">
        <v>692</v>
      </c>
      <c r="AD274" s="75" t="s">
        <v>5144</v>
      </c>
      <c r="AE274" s="75" t="s">
        <v>5145</v>
      </c>
      <c r="AF274" s="75" t="s">
        <v>5170</v>
      </c>
      <c r="AG274" s="75" t="s">
        <v>5171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130"/>
        <v/>
      </c>
      <c r="E275" s="85"/>
      <c r="F275" s="80" t="str">
        <f t="shared" si="127"/>
        <v/>
      </c>
      <c r="G275" s="118"/>
      <c r="H275" s="80" t="str">
        <f t="shared" si="128"/>
        <v/>
      </c>
      <c r="I275" s="80" t="str">
        <f t="shared" si="129"/>
        <v/>
      </c>
      <c r="J275" s="117"/>
      <c r="K275" s="117"/>
      <c r="L275" s="117"/>
      <c r="M275" s="84"/>
      <c r="O275" s="75" t="str">
        <f t="shared" si="131"/>
        <v/>
      </c>
      <c r="P275" s="75" t="str">
        <f t="shared" si="132"/>
        <v/>
      </c>
      <c r="Q275" s="75" t="str">
        <f t="shared" si="133"/>
        <v/>
      </c>
      <c r="R275" s="75" t="str">
        <f t="shared" si="134"/>
        <v/>
      </c>
      <c r="AB275" s="75" t="s">
        <v>939</v>
      </c>
      <c r="AC275" s="75" t="s">
        <v>933</v>
      </c>
      <c r="AD275" s="75" t="s">
        <v>5144</v>
      </c>
      <c r="AE275" s="75" t="s">
        <v>5145</v>
      </c>
      <c r="AF275" s="75" t="s">
        <v>5170</v>
      </c>
      <c r="AG275" s="75" t="s">
        <v>5171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130"/>
        <v/>
      </c>
      <c r="E276" s="85"/>
      <c r="F276" s="80" t="str">
        <f t="shared" si="127"/>
        <v/>
      </c>
      <c r="G276" s="118"/>
      <c r="H276" s="80" t="str">
        <f t="shared" si="128"/>
        <v/>
      </c>
      <c r="I276" s="80" t="str">
        <f t="shared" si="129"/>
        <v/>
      </c>
      <c r="J276" s="117"/>
      <c r="K276" s="117"/>
      <c r="L276" s="117"/>
      <c r="M276" s="84"/>
      <c r="O276" s="75" t="str">
        <f t="shared" si="131"/>
        <v/>
      </c>
      <c r="P276" s="75" t="str">
        <f t="shared" si="132"/>
        <v/>
      </c>
      <c r="Q276" s="75" t="str">
        <f t="shared" si="133"/>
        <v/>
      </c>
      <c r="R276" s="75" t="str">
        <f t="shared" si="134"/>
        <v/>
      </c>
      <c r="AB276" s="75" t="s">
        <v>693</v>
      </c>
      <c r="AC276" s="75" t="s">
        <v>1743</v>
      </c>
      <c r="AD276" s="75" t="s">
        <v>5144</v>
      </c>
      <c r="AE276" s="75" t="s">
        <v>5145</v>
      </c>
      <c r="AF276" s="75" t="s">
        <v>5170</v>
      </c>
      <c r="AG276" s="75" t="s">
        <v>5171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130"/>
        <v/>
      </c>
      <c r="E277" s="85"/>
      <c r="F277" s="80" t="str">
        <f t="shared" si="127"/>
        <v/>
      </c>
      <c r="G277" s="118"/>
      <c r="H277" s="80" t="str">
        <f t="shared" si="128"/>
        <v/>
      </c>
      <c r="I277" s="80" t="str">
        <f t="shared" si="129"/>
        <v/>
      </c>
      <c r="J277" s="117"/>
      <c r="K277" s="117"/>
      <c r="L277" s="117"/>
      <c r="M277" s="84"/>
      <c r="O277" s="75" t="str">
        <f t="shared" si="131"/>
        <v/>
      </c>
      <c r="P277" s="75" t="str">
        <f t="shared" si="132"/>
        <v/>
      </c>
      <c r="Q277" s="75" t="str">
        <f t="shared" si="133"/>
        <v/>
      </c>
      <c r="R277" s="75" t="str">
        <f t="shared" si="134"/>
        <v/>
      </c>
      <c r="AB277" s="75" t="s">
        <v>694</v>
      </c>
      <c r="AC277" s="75" t="s">
        <v>1243</v>
      </c>
      <c r="AD277" s="75" t="s">
        <v>5144</v>
      </c>
      <c r="AE277" s="75" t="s">
        <v>5145</v>
      </c>
      <c r="AF277" s="75" t="s">
        <v>5170</v>
      </c>
      <c r="AG277" s="75" t="s">
        <v>5171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130"/>
        <v/>
      </c>
      <c r="E278" s="85"/>
      <c r="F278" s="80" t="str">
        <f t="shared" si="127"/>
        <v/>
      </c>
      <c r="G278" s="118"/>
      <c r="H278" s="80" t="str">
        <f t="shared" si="128"/>
        <v/>
      </c>
      <c r="I278" s="80" t="str">
        <f t="shared" si="129"/>
        <v/>
      </c>
      <c r="J278" s="117"/>
      <c r="K278" s="117"/>
      <c r="L278" s="117"/>
      <c r="M278" s="84"/>
      <c r="O278" s="75" t="str">
        <f t="shared" si="131"/>
        <v/>
      </c>
      <c r="P278" s="75" t="str">
        <f t="shared" si="132"/>
        <v/>
      </c>
      <c r="Q278" s="75" t="str">
        <f t="shared" si="133"/>
        <v/>
      </c>
      <c r="R278" s="75" t="str">
        <f t="shared" si="134"/>
        <v/>
      </c>
      <c r="AB278" s="75" t="s">
        <v>695</v>
      </c>
      <c r="AC278" s="75" t="s">
        <v>696</v>
      </c>
      <c r="AD278" s="75" t="s">
        <v>5144</v>
      </c>
      <c r="AE278" s="75" t="s">
        <v>5145</v>
      </c>
      <c r="AF278" s="75" t="s">
        <v>5170</v>
      </c>
      <c r="AG278" s="75" t="s">
        <v>5171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130"/>
        <v/>
      </c>
      <c r="E279" s="85"/>
      <c r="F279" s="80" t="str">
        <f t="shared" si="127"/>
        <v/>
      </c>
      <c r="G279" s="118"/>
      <c r="H279" s="80" t="str">
        <f t="shared" si="128"/>
        <v/>
      </c>
      <c r="I279" s="80" t="str">
        <f t="shared" si="129"/>
        <v/>
      </c>
      <c r="J279" s="117"/>
      <c r="K279" s="117"/>
      <c r="L279" s="117"/>
      <c r="M279" s="84"/>
      <c r="O279" s="75" t="str">
        <f t="shared" si="131"/>
        <v/>
      </c>
      <c r="P279" s="75" t="str">
        <f t="shared" si="132"/>
        <v/>
      </c>
      <c r="Q279" s="75" t="str">
        <f t="shared" si="133"/>
        <v/>
      </c>
      <c r="R279" s="75" t="str">
        <f t="shared" si="134"/>
        <v/>
      </c>
      <c r="AB279" s="75" t="s">
        <v>697</v>
      </c>
      <c r="AC279" s="75" t="s">
        <v>682</v>
      </c>
      <c r="AD279" s="75" t="s">
        <v>5144</v>
      </c>
      <c r="AE279" s="75" t="s">
        <v>5145</v>
      </c>
      <c r="AF279" s="75" t="s">
        <v>5170</v>
      </c>
      <c r="AG279" s="75" t="s">
        <v>5171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130"/>
        <v/>
      </c>
      <c r="E280" s="85"/>
      <c r="F280" s="80" t="str">
        <f t="shared" si="127"/>
        <v/>
      </c>
      <c r="G280" s="118"/>
      <c r="H280" s="80" t="str">
        <f t="shared" si="128"/>
        <v/>
      </c>
      <c r="I280" s="80" t="str">
        <f t="shared" si="129"/>
        <v/>
      </c>
      <c r="J280" s="117"/>
      <c r="K280" s="117"/>
      <c r="L280" s="117"/>
      <c r="M280" s="84"/>
      <c r="O280" s="75" t="str">
        <f t="shared" si="131"/>
        <v/>
      </c>
      <c r="P280" s="75" t="str">
        <f t="shared" si="132"/>
        <v/>
      </c>
      <c r="Q280" s="75" t="str">
        <f t="shared" si="133"/>
        <v/>
      </c>
      <c r="R280" s="75" t="str">
        <f t="shared" si="134"/>
        <v/>
      </c>
      <c r="AB280" s="75" t="s">
        <v>1992</v>
      </c>
      <c r="AC280" s="75" t="s">
        <v>1993</v>
      </c>
      <c r="AD280" s="75" t="s">
        <v>5144</v>
      </c>
      <c r="AE280" s="75" t="s">
        <v>5145</v>
      </c>
      <c r="AF280" s="75" t="s">
        <v>5170</v>
      </c>
      <c r="AG280" s="75" t="s">
        <v>5171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130"/>
        <v/>
      </c>
      <c r="E281" s="85"/>
      <c r="F281" s="80" t="str">
        <f t="shared" si="127"/>
        <v/>
      </c>
      <c r="G281" s="118"/>
      <c r="H281" s="80" t="str">
        <f t="shared" si="128"/>
        <v/>
      </c>
      <c r="I281" s="80" t="str">
        <f t="shared" si="129"/>
        <v/>
      </c>
      <c r="J281" s="117"/>
      <c r="K281" s="117"/>
      <c r="L281" s="117"/>
      <c r="M281" s="84"/>
      <c r="O281" s="75" t="str">
        <f t="shared" si="131"/>
        <v/>
      </c>
      <c r="P281" s="75" t="str">
        <f t="shared" si="132"/>
        <v/>
      </c>
      <c r="Q281" s="75" t="str">
        <f t="shared" si="133"/>
        <v/>
      </c>
      <c r="R281" s="75" t="str">
        <f t="shared" si="134"/>
        <v/>
      </c>
      <c r="AB281" s="75" t="s">
        <v>1994</v>
      </c>
      <c r="AC281" s="75" t="s">
        <v>3476</v>
      </c>
      <c r="AD281" s="75" t="s">
        <v>5144</v>
      </c>
      <c r="AE281" s="75" t="s">
        <v>5145</v>
      </c>
      <c r="AF281" s="75" t="s">
        <v>5170</v>
      </c>
      <c r="AG281" s="75" t="s">
        <v>5171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130"/>
        <v/>
      </c>
      <c r="E282" s="85"/>
      <c r="F282" s="80" t="str">
        <f t="shared" si="127"/>
        <v/>
      </c>
      <c r="G282" s="118"/>
      <c r="H282" s="80" t="str">
        <f t="shared" si="128"/>
        <v/>
      </c>
      <c r="I282" s="80" t="str">
        <f t="shared" si="129"/>
        <v/>
      </c>
      <c r="J282" s="117"/>
      <c r="K282" s="117"/>
      <c r="L282" s="117"/>
      <c r="M282" s="84"/>
      <c r="O282" s="75" t="str">
        <f t="shared" si="131"/>
        <v/>
      </c>
      <c r="P282" s="75" t="str">
        <f t="shared" si="132"/>
        <v/>
      </c>
      <c r="Q282" s="75" t="str">
        <f t="shared" si="133"/>
        <v/>
      </c>
      <c r="R282" s="75" t="str">
        <f t="shared" si="134"/>
        <v/>
      </c>
      <c r="AB282" s="75" t="s">
        <v>3491</v>
      </c>
      <c r="AC282" s="75" t="s">
        <v>3492</v>
      </c>
      <c r="AD282" s="75" t="s">
        <v>5144</v>
      </c>
      <c r="AE282" s="75" t="s">
        <v>5145</v>
      </c>
      <c r="AF282" s="75" t="s">
        <v>5170</v>
      </c>
      <c r="AG282" s="75" t="s">
        <v>5171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130"/>
        <v/>
      </c>
      <c r="E283" s="85"/>
      <c r="F283" s="80" t="str">
        <f t="shared" si="127"/>
        <v/>
      </c>
      <c r="G283" s="118"/>
      <c r="H283" s="80" t="str">
        <f t="shared" si="128"/>
        <v/>
      </c>
      <c r="I283" s="80" t="str">
        <f t="shared" si="129"/>
        <v/>
      </c>
      <c r="J283" s="117"/>
      <c r="K283" s="117"/>
      <c r="L283" s="117"/>
      <c r="M283" s="84"/>
      <c r="O283" s="75" t="str">
        <f t="shared" si="131"/>
        <v/>
      </c>
      <c r="P283" s="75" t="str">
        <f t="shared" si="132"/>
        <v/>
      </c>
      <c r="Q283" s="75" t="str">
        <f t="shared" si="133"/>
        <v/>
      </c>
      <c r="R283" s="75" t="str">
        <f t="shared" si="134"/>
        <v/>
      </c>
      <c r="AB283" s="75" t="s">
        <v>966</v>
      </c>
      <c r="AC283" s="75" t="s">
        <v>967</v>
      </c>
      <c r="AD283" s="75" t="s">
        <v>5144</v>
      </c>
      <c r="AE283" s="75" t="s">
        <v>5145</v>
      </c>
      <c r="AF283" s="75" t="s">
        <v>5170</v>
      </c>
      <c r="AG283" s="75" t="s">
        <v>5171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130"/>
        <v/>
      </c>
      <c r="E284" s="85"/>
      <c r="F284" s="80" t="str">
        <f t="shared" si="127"/>
        <v/>
      </c>
      <c r="G284" s="118"/>
      <c r="H284" s="80" t="str">
        <f t="shared" si="128"/>
        <v/>
      </c>
      <c r="I284" s="80" t="str">
        <f t="shared" si="129"/>
        <v/>
      </c>
      <c r="J284" s="117"/>
      <c r="K284" s="117"/>
      <c r="L284" s="117"/>
      <c r="M284" s="84"/>
      <c r="O284" s="75" t="str">
        <f t="shared" si="131"/>
        <v/>
      </c>
      <c r="P284" s="75" t="str">
        <f t="shared" si="132"/>
        <v/>
      </c>
      <c r="Q284" s="75" t="str">
        <f t="shared" si="133"/>
        <v/>
      </c>
      <c r="R284" s="75" t="str">
        <f t="shared" si="134"/>
        <v/>
      </c>
      <c r="AB284" s="75" t="s">
        <v>968</v>
      </c>
      <c r="AC284" s="75" t="s">
        <v>3493</v>
      </c>
      <c r="AD284" s="75" t="s">
        <v>5144</v>
      </c>
      <c r="AE284" s="75" t="s">
        <v>5145</v>
      </c>
      <c r="AF284" s="75" t="s">
        <v>5170</v>
      </c>
      <c r="AG284" s="75" t="s">
        <v>5171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130"/>
        <v/>
      </c>
      <c r="E285" s="85"/>
      <c r="F285" s="80" t="str">
        <f t="shared" si="127"/>
        <v/>
      </c>
      <c r="G285" s="118"/>
      <c r="H285" s="80" t="str">
        <f t="shared" si="128"/>
        <v/>
      </c>
      <c r="I285" s="80" t="str">
        <f t="shared" si="129"/>
        <v/>
      </c>
      <c r="J285" s="117"/>
      <c r="K285" s="117"/>
      <c r="L285" s="117"/>
      <c r="M285" s="84"/>
      <c r="O285" s="75" t="str">
        <f t="shared" si="131"/>
        <v/>
      </c>
      <c r="P285" s="75" t="str">
        <f t="shared" si="132"/>
        <v/>
      </c>
      <c r="Q285" s="75" t="str">
        <f t="shared" si="133"/>
        <v/>
      </c>
      <c r="R285" s="75" t="str">
        <f t="shared" si="134"/>
        <v/>
      </c>
      <c r="AB285" s="75" t="s">
        <v>971</v>
      </c>
      <c r="AC285" s="75" t="s">
        <v>972</v>
      </c>
      <c r="AD285" s="75" t="s">
        <v>5152</v>
      </c>
      <c r="AE285" s="75" t="s">
        <v>5153</v>
      </c>
      <c r="AF285" s="75" t="s">
        <v>5169</v>
      </c>
      <c r="AG285" s="75" t="s">
        <v>5174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130"/>
        <v/>
      </c>
      <c r="E286" s="85"/>
      <c r="F286" s="80" t="str">
        <f t="shared" si="127"/>
        <v/>
      </c>
      <c r="G286" s="118"/>
      <c r="H286" s="80" t="str">
        <f t="shared" si="128"/>
        <v/>
      </c>
      <c r="I286" s="80" t="str">
        <f t="shared" si="129"/>
        <v/>
      </c>
      <c r="J286" s="117"/>
      <c r="K286" s="117"/>
      <c r="L286" s="117"/>
      <c r="M286" s="84"/>
      <c r="O286" s="75" t="str">
        <f t="shared" si="131"/>
        <v/>
      </c>
      <c r="P286" s="75" t="str">
        <f t="shared" si="132"/>
        <v/>
      </c>
      <c r="Q286" s="75" t="str">
        <f t="shared" si="133"/>
        <v/>
      </c>
      <c r="R286" s="75" t="str">
        <f t="shared" si="134"/>
        <v/>
      </c>
      <c r="AB286" s="75" t="s">
        <v>973</v>
      </c>
      <c r="AC286" s="75" t="s">
        <v>974</v>
      </c>
      <c r="AD286" s="75" t="s">
        <v>5152</v>
      </c>
      <c r="AE286" s="75" t="s">
        <v>5153</v>
      </c>
      <c r="AF286" s="75" t="s">
        <v>5169</v>
      </c>
      <c r="AG286" s="75" t="s">
        <v>5174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130"/>
        <v/>
      </c>
      <c r="E287" s="85"/>
      <c r="F287" s="80" t="str">
        <f t="shared" si="127"/>
        <v/>
      </c>
      <c r="G287" s="118"/>
      <c r="H287" s="80" t="str">
        <f t="shared" si="128"/>
        <v/>
      </c>
      <c r="I287" s="80" t="str">
        <f t="shared" si="129"/>
        <v/>
      </c>
      <c r="J287" s="117"/>
      <c r="K287" s="117"/>
      <c r="L287" s="117"/>
      <c r="M287" s="84"/>
      <c r="O287" s="75" t="str">
        <f t="shared" si="131"/>
        <v/>
      </c>
      <c r="P287" s="75" t="str">
        <f t="shared" si="132"/>
        <v/>
      </c>
      <c r="Q287" s="75" t="str">
        <f t="shared" si="133"/>
        <v/>
      </c>
      <c r="R287" s="75" t="str">
        <f t="shared" si="134"/>
        <v/>
      </c>
      <c r="AB287" s="75" t="s">
        <v>975</v>
      </c>
      <c r="AC287" s="75" t="s">
        <v>1244</v>
      </c>
      <c r="AD287" s="75" t="s">
        <v>5152</v>
      </c>
      <c r="AE287" s="75" t="s">
        <v>5153</v>
      </c>
      <c r="AF287" s="75" t="s">
        <v>5169</v>
      </c>
      <c r="AG287" s="75" t="s">
        <v>5174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130"/>
        <v/>
      </c>
      <c r="E288" s="85"/>
      <c r="F288" s="80" t="str">
        <f t="shared" si="127"/>
        <v/>
      </c>
      <c r="G288" s="118"/>
      <c r="H288" s="80" t="str">
        <f t="shared" si="128"/>
        <v/>
      </c>
      <c r="I288" s="80" t="str">
        <f t="shared" si="129"/>
        <v/>
      </c>
      <c r="J288" s="117"/>
      <c r="K288" s="117"/>
      <c r="L288" s="117"/>
      <c r="M288" s="84"/>
      <c r="O288" s="75" t="str">
        <f t="shared" si="131"/>
        <v/>
      </c>
      <c r="P288" s="75" t="str">
        <f t="shared" si="132"/>
        <v/>
      </c>
      <c r="Q288" s="75" t="str">
        <f t="shared" si="133"/>
        <v/>
      </c>
      <c r="R288" s="75" t="str">
        <f t="shared" si="134"/>
        <v/>
      </c>
      <c r="AB288" s="75" t="s">
        <v>976</v>
      </c>
      <c r="AC288" s="75" t="s">
        <v>977</v>
      </c>
      <c r="AD288" s="75" t="s">
        <v>5152</v>
      </c>
      <c r="AE288" s="75" t="s">
        <v>5153</v>
      </c>
      <c r="AF288" s="75" t="s">
        <v>5169</v>
      </c>
      <c r="AG288" s="75" t="s">
        <v>5174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130"/>
        <v/>
      </c>
      <c r="E289" s="85"/>
      <c r="F289" s="80" t="str">
        <f t="shared" si="127"/>
        <v/>
      </c>
      <c r="G289" s="118"/>
      <c r="H289" s="80" t="str">
        <f t="shared" si="128"/>
        <v/>
      </c>
      <c r="I289" s="80" t="str">
        <f t="shared" si="129"/>
        <v/>
      </c>
      <c r="J289" s="117"/>
      <c r="K289" s="117"/>
      <c r="L289" s="117"/>
      <c r="M289" s="84"/>
      <c r="O289" s="75" t="str">
        <f t="shared" si="131"/>
        <v/>
      </c>
      <c r="P289" s="75" t="str">
        <f t="shared" si="132"/>
        <v/>
      </c>
      <c r="Q289" s="75" t="str">
        <f t="shared" si="133"/>
        <v/>
      </c>
      <c r="R289" s="75" t="str">
        <f t="shared" si="134"/>
        <v/>
      </c>
      <c r="AB289" s="75" t="s">
        <v>980</v>
      </c>
      <c r="AC289" s="75" t="s">
        <v>981</v>
      </c>
      <c r="AD289" s="75" t="s">
        <v>5164</v>
      </c>
      <c r="AE289" s="75" t="s">
        <v>5165</v>
      </c>
      <c r="AF289" s="75" t="s">
        <v>5170</v>
      </c>
      <c r="AG289" s="75" t="s">
        <v>5182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130"/>
        <v/>
      </c>
      <c r="E290" s="85"/>
      <c r="F290" s="80" t="str">
        <f t="shared" si="127"/>
        <v/>
      </c>
      <c r="G290" s="118"/>
      <c r="H290" s="80" t="str">
        <f t="shared" si="128"/>
        <v/>
      </c>
      <c r="I290" s="80" t="str">
        <f t="shared" si="129"/>
        <v/>
      </c>
      <c r="J290" s="117"/>
      <c r="K290" s="117"/>
      <c r="L290" s="117"/>
      <c r="M290" s="84"/>
      <c r="O290" s="75" t="str">
        <f t="shared" si="131"/>
        <v/>
      </c>
      <c r="P290" s="75" t="str">
        <f t="shared" si="132"/>
        <v/>
      </c>
      <c r="Q290" s="75" t="str">
        <f t="shared" si="133"/>
        <v/>
      </c>
      <c r="R290" s="75" t="str">
        <f t="shared" si="134"/>
        <v/>
      </c>
      <c r="AB290" s="75" t="s">
        <v>982</v>
      </c>
      <c r="AC290" s="75" t="s">
        <v>983</v>
      </c>
      <c r="AD290" s="75" t="s">
        <v>5164</v>
      </c>
      <c r="AE290" s="75" t="s">
        <v>5165</v>
      </c>
      <c r="AF290" s="75" t="s">
        <v>5170</v>
      </c>
      <c r="AG290" s="75" t="s">
        <v>5182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130"/>
        <v/>
      </c>
      <c r="E291" s="85"/>
      <c r="F291" s="80" t="str">
        <f t="shared" si="127"/>
        <v/>
      </c>
      <c r="G291" s="118"/>
      <c r="H291" s="80" t="str">
        <f t="shared" si="128"/>
        <v/>
      </c>
      <c r="I291" s="80" t="str">
        <f t="shared" si="129"/>
        <v/>
      </c>
      <c r="J291" s="117"/>
      <c r="K291" s="117"/>
      <c r="L291" s="117"/>
      <c r="M291" s="84"/>
      <c r="O291" s="75" t="str">
        <f t="shared" si="131"/>
        <v/>
      </c>
      <c r="P291" s="75" t="str">
        <f t="shared" si="132"/>
        <v/>
      </c>
      <c r="Q291" s="75" t="str">
        <f t="shared" si="133"/>
        <v/>
      </c>
      <c r="R291" s="75" t="str">
        <f t="shared" si="134"/>
        <v/>
      </c>
      <c r="AB291" s="75" t="s">
        <v>984</v>
      </c>
      <c r="AC291" s="75" t="s">
        <v>985</v>
      </c>
      <c r="AD291" s="75" t="s">
        <v>5166</v>
      </c>
      <c r="AE291" s="75" t="s">
        <v>5167</v>
      </c>
      <c r="AF291" s="75" t="s">
        <v>5172</v>
      </c>
      <c r="AG291" s="75" t="s">
        <v>5173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130"/>
        <v/>
      </c>
      <c r="E292" s="85"/>
      <c r="F292" s="80" t="str">
        <f t="shared" si="127"/>
        <v/>
      </c>
      <c r="G292" s="118"/>
      <c r="H292" s="80" t="str">
        <f t="shared" si="128"/>
        <v/>
      </c>
      <c r="I292" s="80" t="str">
        <f t="shared" si="129"/>
        <v/>
      </c>
      <c r="J292" s="117"/>
      <c r="K292" s="117"/>
      <c r="L292" s="117"/>
      <c r="M292" s="84"/>
      <c r="O292" s="75" t="str">
        <f t="shared" si="131"/>
        <v/>
      </c>
      <c r="P292" s="75" t="str">
        <f t="shared" si="132"/>
        <v/>
      </c>
      <c r="Q292" s="75" t="str">
        <f t="shared" si="133"/>
        <v/>
      </c>
      <c r="R292" s="75" t="str">
        <f t="shared" si="134"/>
        <v/>
      </c>
      <c r="AB292" s="75" t="s">
        <v>986</v>
      </c>
      <c r="AC292" s="75" t="s">
        <v>987</v>
      </c>
      <c r="AD292" s="75" t="s">
        <v>5164</v>
      </c>
      <c r="AE292" s="75" t="s">
        <v>5165</v>
      </c>
      <c r="AF292" s="75" t="s">
        <v>5170</v>
      </c>
      <c r="AG292" s="75" t="s">
        <v>5182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130"/>
        <v/>
      </c>
      <c r="E293" s="85"/>
      <c r="F293" s="80" t="str">
        <f t="shared" si="127"/>
        <v/>
      </c>
      <c r="G293" s="118"/>
      <c r="H293" s="80" t="str">
        <f t="shared" si="128"/>
        <v/>
      </c>
      <c r="I293" s="80" t="str">
        <f t="shared" si="129"/>
        <v/>
      </c>
      <c r="J293" s="117"/>
      <c r="K293" s="117"/>
      <c r="L293" s="117"/>
      <c r="M293" s="84"/>
      <c r="O293" s="75" t="str">
        <f t="shared" si="131"/>
        <v/>
      </c>
      <c r="P293" s="75" t="str">
        <f t="shared" si="132"/>
        <v/>
      </c>
      <c r="Q293" s="75" t="str">
        <f t="shared" si="133"/>
        <v/>
      </c>
      <c r="R293" s="75" t="str">
        <f t="shared" si="134"/>
        <v/>
      </c>
      <c r="AB293" s="75" t="s">
        <v>988</v>
      </c>
      <c r="AC293" s="75" t="s">
        <v>989</v>
      </c>
      <c r="AD293" s="75" t="s">
        <v>5164</v>
      </c>
      <c r="AE293" s="75" t="s">
        <v>5165</v>
      </c>
      <c r="AF293" s="75" t="s">
        <v>5170</v>
      </c>
      <c r="AG293" s="75" t="s">
        <v>5182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130"/>
        <v/>
      </c>
      <c r="E294" s="85"/>
      <c r="F294" s="80" t="str">
        <f t="shared" si="127"/>
        <v/>
      </c>
      <c r="G294" s="118"/>
      <c r="H294" s="80" t="str">
        <f t="shared" si="128"/>
        <v/>
      </c>
      <c r="I294" s="80" t="str">
        <f t="shared" si="129"/>
        <v/>
      </c>
      <c r="J294" s="117"/>
      <c r="K294" s="117"/>
      <c r="L294" s="117"/>
      <c r="M294" s="84"/>
      <c r="O294" s="75" t="str">
        <f t="shared" si="131"/>
        <v/>
      </c>
      <c r="P294" s="75" t="str">
        <f t="shared" si="132"/>
        <v/>
      </c>
      <c r="Q294" s="75" t="str">
        <f t="shared" si="133"/>
        <v/>
      </c>
      <c r="R294" s="75" t="str">
        <f t="shared" si="134"/>
        <v/>
      </c>
      <c r="AB294" s="75" t="s">
        <v>990</v>
      </c>
      <c r="AC294" s="75" t="s">
        <v>991</v>
      </c>
      <c r="AD294" s="75" t="s">
        <v>5164</v>
      </c>
      <c r="AE294" s="75" t="s">
        <v>5165</v>
      </c>
      <c r="AF294" s="75" t="s">
        <v>5170</v>
      </c>
      <c r="AG294" s="75" t="s">
        <v>5182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130"/>
        <v/>
      </c>
      <c r="E295" s="85"/>
      <c r="F295" s="80" t="str">
        <f t="shared" si="127"/>
        <v/>
      </c>
      <c r="G295" s="118"/>
      <c r="H295" s="80" t="str">
        <f t="shared" si="128"/>
        <v/>
      </c>
      <c r="I295" s="80" t="str">
        <f t="shared" si="129"/>
        <v/>
      </c>
      <c r="J295" s="117"/>
      <c r="K295" s="117"/>
      <c r="L295" s="117"/>
      <c r="M295" s="84"/>
      <c r="O295" s="75" t="str">
        <f t="shared" si="131"/>
        <v/>
      </c>
      <c r="P295" s="75" t="str">
        <f t="shared" si="132"/>
        <v/>
      </c>
      <c r="Q295" s="75" t="str">
        <f t="shared" si="133"/>
        <v/>
      </c>
      <c r="R295" s="75" t="str">
        <f t="shared" si="134"/>
        <v/>
      </c>
      <c r="AB295" s="75" t="s">
        <v>992</v>
      </c>
      <c r="AC295" s="75" t="s">
        <v>993</v>
      </c>
      <c r="AD295" s="75" t="s">
        <v>5164</v>
      </c>
      <c r="AE295" s="75" t="s">
        <v>5165</v>
      </c>
      <c r="AF295" s="75" t="s">
        <v>5170</v>
      </c>
      <c r="AG295" s="75" t="s">
        <v>5182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130"/>
        <v/>
      </c>
      <c r="E296" s="85"/>
      <c r="F296" s="80" t="str">
        <f t="shared" si="127"/>
        <v/>
      </c>
      <c r="G296" s="118"/>
      <c r="H296" s="80" t="str">
        <f t="shared" si="128"/>
        <v/>
      </c>
      <c r="I296" s="80" t="str">
        <f t="shared" si="129"/>
        <v/>
      </c>
      <c r="J296" s="117"/>
      <c r="K296" s="117"/>
      <c r="L296" s="117"/>
      <c r="M296" s="84"/>
      <c r="O296" s="75" t="str">
        <f t="shared" si="131"/>
        <v/>
      </c>
      <c r="P296" s="75" t="str">
        <f t="shared" si="132"/>
        <v/>
      </c>
      <c r="Q296" s="75" t="str">
        <f t="shared" si="133"/>
        <v/>
      </c>
      <c r="R296" s="75" t="str">
        <f t="shared" si="134"/>
        <v/>
      </c>
      <c r="AB296" s="75" t="s">
        <v>992</v>
      </c>
      <c r="AC296" s="75" t="s">
        <v>993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130"/>
        <v/>
      </c>
      <c r="E297" s="85"/>
      <c r="F297" s="80" t="str">
        <f t="shared" si="127"/>
        <v/>
      </c>
      <c r="G297" s="118"/>
      <c r="H297" s="80" t="str">
        <f t="shared" si="128"/>
        <v/>
      </c>
      <c r="I297" s="80" t="str">
        <f t="shared" si="129"/>
        <v/>
      </c>
      <c r="J297" s="117"/>
      <c r="K297" s="117"/>
      <c r="L297" s="117"/>
      <c r="M297" s="84"/>
      <c r="O297" s="75" t="str">
        <f t="shared" si="131"/>
        <v/>
      </c>
      <c r="P297" s="75" t="str">
        <f t="shared" si="132"/>
        <v/>
      </c>
      <c r="Q297" s="75" t="str">
        <f t="shared" si="133"/>
        <v/>
      </c>
      <c r="R297" s="75" t="str">
        <f t="shared" si="134"/>
        <v/>
      </c>
      <c r="AB297" s="75" t="s">
        <v>1658</v>
      </c>
      <c r="AC297" s="75" t="s">
        <v>1659</v>
      </c>
      <c r="AD297" s="75" t="s">
        <v>5164</v>
      </c>
      <c r="AE297" s="75" t="s">
        <v>5165</v>
      </c>
      <c r="AF297" s="75" t="s">
        <v>5170</v>
      </c>
      <c r="AG297" s="75" t="s">
        <v>5182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130"/>
        <v/>
      </c>
      <c r="E298" s="85"/>
      <c r="F298" s="80" t="str">
        <f t="shared" si="127"/>
        <v/>
      </c>
      <c r="G298" s="118"/>
      <c r="H298" s="80" t="str">
        <f t="shared" si="128"/>
        <v/>
      </c>
      <c r="I298" s="80" t="str">
        <f t="shared" si="129"/>
        <v/>
      </c>
      <c r="J298" s="117"/>
      <c r="K298" s="117"/>
      <c r="L298" s="117"/>
      <c r="M298" s="84"/>
      <c r="O298" s="75" t="str">
        <f t="shared" si="131"/>
        <v/>
      </c>
      <c r="P298" s="75" t="str">
        <f t="shared" si="132"/>
        <v/>
      </c>
      <c r="Q298" s="75" t="str">
        <f t="shared" si="133"/>
        <v/>
      </c>
      <c r="R298" s="75" t="str">
        <f t="shared" si="134"/>
        <v/>
      </c>
      <c r="AB298" s="75" t="s">
        <v>3494</v>
      </c>
      <c r="AC298" s="75" t="s">
        <v>3495</v>
      </c>
      <c r="AD298" s="75" t="s">
        <v>5164</v>
      </c>
      <c r="AE298" s="75" t="s">
        <v>5165</v>
      </c>
      <c r="AF298" s="75" t="s">
        <v>5170</v>
      </c>
      <c r="AG298" s="75" t="s">
        <v>5182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130"/>
        <v/>
      </c>
      <c r="E299" s="85"/>
      <c r="F299" s="80" t="str">
        <f t="shared" si="127"/>
        <v/>
      </c>
      <c r="G299" s="118"/>
      <c r="H299" s="80" t="str">
        <f t="shared" si="128"/>
        <v/>
      </c>
      <c r="I299" s="80" t="str">
        <f t="shared" si="129"/>
        <v/>
      </c>
      <c r="J299" s="117"/>
      <c r="K299" s="117"/>
      <c r="L299" s="117"/>
      <c r="M299" s="84"/>
      <c r="O299" s="75" t="str">
        <f t="shared" si="131"/>
        <v/>
      </c>
      <c r="P299" s="75" t="str">
        <f t="shared" si="132"/>
        <v/>
      </c>
      <c r="Q299" s="75" t="str">
        <f t="shared" si="133"/>
        <v/>
      </c>
      <c r="R299" s="75" t="str">
        <f t="shared" si="134"/>
        <v/>
      </c>
      <c r="AB299" s="75" t="s">
        <v>994</v>
      </c>
      <c r="AC299" s="75" t="s">
        <v>995</v>
      </c>
      <c r="AD299" s="75" t="s">
        <v>5164</v>
      </c>
      <c r="AE299" s="75" t="s">
        <v>5165</v>
      </c>
      <c r="AF299" s="75" t="s">
        <v>5170</v>
      </c>
      <c r="AG299" s="75" t="s">
        <v>5182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130"/>
        <v/>
      </c>
      <c r="E300" s="85"/>
      <c r="F300" s="80" t="str">
        <f t="shared" si="127"/>
        <v/>
      </c>
      <c r="G300" s="118"/>
      <c r="H300" s="80" t="str">
        <f t="shared" si="128"/>
        <v/>
      </c>
      <c r="I300" s="80" t="str">
        <f t="shared" si="129"/>
        <v/>
      </c>
      <c r="J300" s="117"/>
      <c r="K300" s="117"/>
      <c r="L300" s="117"/>
      <c r="M300" s="84"/>
      <c r="O300" s="75" t="str">
        <f t="shared" si="131"/>
        <v/>
      </c>
      <c r="P300" s="75" t="str">
        <f t="shared" si="132"/>
        <v/>
      </c>
      <c r="Q300" s="75" t="str">
        <f t="shared" si="133"/>
        <v/>
      </c>
      <c r="R300" s="75" t="str">
        <f t="shared" si="134"/>
        <v/>
      </c>
      <c r="AB300" s="75" t="s">
        <v>996</v>
      </c>
      <c r="AC300" s="75" t="s">
        <v>997</v>
      </c>
      <c r="AD300" s="75" t="s">
        <v>5164</v>
      </c>
      <c r="AE300" s="75" t="s">
        <v>5165</v>
      </c>
      <c r="AF300" s="75" t="s">
        <v>5170</v>
      </c>
      <c r="AG300" s="75" t="s">
        <v>5182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130"/>
        <v/>
      </c>
      <c r="E301" s="85"/>
      <c r="F301" s="80" t="str">
        <f t="shared" si="127"/>
        <v/>
      </c>
      <c r="G301" s="118"/>
      <c r="H301" s="80" t="str">
        <f t="shared" si="128"/>
        <v/>
      </c>
      <c r="I301" s="80" t="str">
        <f t="shared" si="129"/>
        <v/>
      </c>
      <c r="J301" s="117"/>
      <c r="K301" s="117"/>
      <c r="L301" s="117"/>
      <c r="M301" s="84"/>
      <c r="O301" s="75" t="str">
        <f t="shared" si="131"/>
        <v/>
      </c>
      <c r="P301" s="75" t="str">
        <f t="shared" si="132"/>
        <v/>
      </c>
      <c r="Q301" s="75" t="str">
        <f t="shared" si="133"/>
        <v/>
      </c>
      <c r="R301" s="75" t="str">
        <f t="shared" si="134"/>
        <v/>
      </c>
      <c r="AB301" s="75" t="s">
        <v>998</v>
      </c>
      <c r="AC301" s="75" t="s">
        <v>999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130"/>
        <v/>
      </c>
      <c r="E302" s="85"/>
      <c r="F302" s="80" t="str">
        <f t="shared" si="127"/>
        <v/>
      </c>
      <c r="G302" s="118"/>
      <c r="H302" s="80" t="str">
        <f t="shared" si="128"/>
        <v/>
      </c>
      <c r="I302" s="80" t="str">
        <f t="shared" si="129"/>
        <v/>
      </c>
      <c r="J302" s="117"/>
      <c r="K302" s="117"/>
      <c r="L302" s="117"/>
      <c r="M302" s="84"/>
      <c r="O302" s="75" t="str">
        <f t="shared" si="131"/>
        <v/>
      </c>
      <c r="P302" s="75" t="str">
        <f t="shared" si="132"/>
        <v/>
      </c>
      <c r="Q302" s="75" t="str">
        <f t="shared" si="133"/>
        <v/>
      </c>
      <c r="R302" s="75" t="str">
        <f t="shared" si="134"/>
        <v/>
      </c>
      <c r="AB302" s="75" t="s">
        <v>1000</v>
      </c>
      <c r="AC302" s="75" t="s">
        <v>1001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130"/>
        <v/>
      </c>
      <c r="E303" s="85"/>
      <c r="F303" s="80" t="str">
        <f t="shared" si="127"/>
        <v/>
      </c>
      <c r="G303" s="118"/>
      <c r="H303" s="80" t="str">
        <f t="shared" si="128"/>
        <v/>
      </c>
      <c r="I303" s="80" t="str">
        <f t="shared" si="129"/>
        <v/>
      </c>
      <c r="J303" s="117"/>
      <c r="K303" s="117"/>
      <c r="L303" s="117"/>
      <c r="M303" s="84"/>
      <c r="O303" s="75" t="str">
        <f t="shared" si="131"/>
        <v/>
      </c>
      <c r="P303" s="75" t="str">
        <f t="shared" si="132"/>
        <v/>
      </c>
      <c r="Q303" s="75" t="str">
        <f t="shared" si="133"/>
        <v/>
      </c>
      <c r="R303" s="75" t="str">
        <f t="shared" si="134"/>
        <v/>
      </c>
      <c r="AB303" s="75" t="s">
        <v>3496</v>
      </c>
      <c r="AC303" s="75" t="s">
        <v>3497</v>
      </c>
      <c r="AD303" s="75" t="s">
        <v>5164</v>
      </c>
      <c r="AE303" s="75" t="s">
        <v>5165</v>
      </c>
      <c r="AF303" s="75" t="s">
        <v>5170</v>
      </c>
      <c r="AG303" s="75" t="s">
        <v>5182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130"/>
        <v/>
      </c>
      <c r="E304" s="85"/>
      <c r="F304" s="80" t="str">
        <f t="shared" si="127"/>
        <v/>
      </c>
      <c r="G304" s="118"/>
      <c r="H304" s="80" t="str">
        <f t="shared" si="128"/>
        <v/>
      </c>
      <c r="I304" s="80" t="str">
        <f t="shared" si="129"/>
        <v/>
      </c>
      <c r="J304" s="117"/>
      <c r="K304" s="117"/>
      <c r="L304" s="117"/>
      <c r="M304" s="84"/>
      <c r="O304" s="75" t="str">
        <f t="shared" si="131"/>
        <v/>
      </c>
      <c r="P304" s="75" t="str">
        <f t="shared" si="132"/>
        <v/>
      </c>
      <c r="Q304" s="75" t="str">
        <f t="shared" si="133"/>
        <v/>
      </c>
      <c r="R304" s="75" t="str">
        <f t="shared" si="134"/>
        <v/>
      </c>
      <c r="AB304" s="75" t="s">
        <v>1004</v>
      </c>
      <c r="AC304" s="75" t="s">
        <v>1005</v>
      </c>
      <c r="AD304" s="75" t="s">
        <v>5144</v>
      </c>
      <c r="AE304" s="75" t="s">
        <v>5145</v>
      </c>
      <c r="AF304" s="75" t="s">
        <v>5170</v>
      </c>
      <c r="AG304" s="75" t="s">
        <v>5171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130"/>
        <v/>
      </c>
      <c r="E305" s="85"/>
      <c r="F305" s="80" t="str">
        <f t="shared" si="127"/>
        <v/>
      </c>
      <c r="G305" s="118"/>
      <c r="H305" s="80" t="str">
        <f t="shared" si="128"/>
        <v/>
      </c>
      <c r="I305" s="80" t="str">
        <f t="shared" si="129"/>
        <v/>
      </c>
      <c r="J305" s="117"/>
      <c r="K305" s="117"/>
      <c r="L305" s="117"/>
      <c r="M305" s="84"/>
      <c r="O305" s="75" t="str">
        <f t="shared" si="131"/>
        <v/>
      </c>
      <c r="P305" s="75" t="str">
        <f t="shared" si="132"/>
        <v/>
      </c>
      <c r="Q305" s="75" t="str">
        <f t="shared" si="133"/>
        <v/>
      </c>
      <c r="R305" s="75" t="str">
        <f t="shared" si="134"/>
        <v/>
      </c>
      <c r="AB305" s="75" t="s">
        <v>1006</v>
      </c>
      <c r="AC305" s="75" t="s">
        <v>1246</v>
      </c>
      <c r="AD305" s="75" t="s">
        <v>5144</v>
      </c>
      <c r="AE305" s="75" t="s">
        <v>5145</v>
      </c>
      <c r="AF305" s="75" t="s">
        <v>5170</v>
      </c>
      <c r="AG305" s="75" t="s">
        <v>5171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130"/>
        <v/>
      </c>
      <c r="E306" s="85"/>
      <c r="F306" s="80" t="str">
        <f t="shared" si="127"/>
        <v/>
      </c>
      <c r="G306" s="118"/>
      <c r="H306" s="80" t="str">
        <f t="shared" si="128"/>
        <v/>
      </c>
      <c r="I306" s="80" t="str">
        <f t="shared" si="129"/>
        <v/>
      </c>
      <c r="J306" s="117"/>
      <c r="K306" s="117"/>
      <c r="L306" s="117"/>
      <c r="M306" s="84"/>
      <c r="O306" s="75" t="str">
        <f t="shared" si="131"/>
        <v/>
      </c>
      <c r="P306" s="75" t="str">
        <f t="shared" si="132"/>
        <v/>
      </c>
      <c r="Q306" s="75" t="str">
        <f t="shared" si="133"/>
        <v/>
      </c>
      <c r="R306" s="75" t="str">
        <f t="shared" si="134"/>
        <v/>
      </c>
      <c r="AB306" s="75" t="s">
        <v>1009</v>
      </c>
      <c r="AC306" s="75" t="s">
        <v>1010</v>
      </c>
      <c r="AD306" s="75" t="s">
        <v>5164</v>
      </c>
      <c r="AE306" s="75" t="s">
        <v>5165</v>
      </c>
      <c r="AF306" s="75" t="s">
        <v>5170</v>
      </c>
      <c r="AG306" s="75" t="s">
        <v>5182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130"/>
        <v/>
      </c>
      <c r="E307" s="85"/>
      <c r="F307" s="80" t="str">
        <f t="shared" si="127"/>
        <v/>
      </c>
      <c r="G307" s="118"/>
      <c r="H307" s="80" t="str">
        <f t="shared" si="128"/>
        <v/>
      </c>
      <c r="I307" s="80" t="str">
        <f t="shared" si="129"/>
        <v/>
      </c>
      <c r="J307" s="117"/>
      <c r="K307" s="117"/>
      <c r="L307" s="117"/>
      <c r="M307" s="84"/>
      <c r="O307" s="75" t="str">
        <f t="shared" si="131"/>
        <v/>
      </c>
      <c r="P307" s="75" t="str">
        <f t="shared" si="132"/>
        <v/>
      </c>
      <c r="Q307" s="75" t="str">
        <f t="shared" si="133"/>
        <v/>
      </c>
      <c r="R307" s="75" t="str">
        <f t="shared" si="134"/>
        <v/>
      </c>
      <c r="AB307" s="75" t="s">
        <v>1011</v>
      </c>
      <c r="AC307" s="75" t="s">
        <v>1245</v>
      </c>
      <c r="AD307" s="75" t="s">
        <v>5164</v>
      </c>
      <c r="AE307" s="75" t="s">
        <v>5165</v>
      </c>
      <c r="AF307" s="75" t="s">
        <v>5170</v>
      </c>
      <c r="AG307" s="75" t="s">
        <v>5182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130"/>
        <v/>
      </c>
      <c r="E308" s="85"/>
      <c r="F308" s="80" t="str">
        <f t="shared" si="127"/>
        <v/>
      </c>
      <c r="G308" s="118"/>
      <c r="H308" s="80" t="str">
        <f t="shared" si="128"/>
        <v/>
      </c>
      <c r="I308" s="80" t="str">
        <f t="shared" si="129"/>
        <v/>
      </c>
      <c r="J308" s="117"/>
      <c r="K308" s="117"/>
      <c r="L308" s="117"/>
      <c r="M308" s="84"/>
      <c r="O308" s="75" t="str">
        <f t="shared" si="131"/>
        <v/>
      </c>
      <c r="P308" s="75" t="str">
        <f t="shared" si="132"/>
        <v/>
      </c>
      <c r="Q308" s="75" t="str">
        <f t="shared" si="133"/>
        <v/>
      </c>
      <c r="R308" s="75" t="str">
        <f t="shared" si="134"/>
        <v/>
      </c>
      <c r="AB308" s="75" t="s">
        <v>1012</v>
      </c>
      <c r="AC308" s="75" t="s">
        <v>1013</v>
      </c>
      <c r="AD308" s="75" t="s">
        <v>5164</v>
      </c>
      <c r="AE308" s="75" t="s">
        <v>5165</v>
      </c>
      <c r="AF308" s="75" t="s">
        <v>5170</v>
      </c>
      <c r="AG308" s="75" t="s">
        <v>5182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130"/>
        <v/>
      </c>
      <c r="E309" s="85"/>
      <c r="F309" s="80" t="str">
        <f t="shared" si="127"/>
        <v/>
      </c>
      <c r="G309" s="118"/>
      <c r="H309" s="80" t="str">
        <f t="shared" si="128"/>
        <v/>
      </c>
      <c r="I309" s="80" t="str">
        <f t="shared" si="129"/>
        <v/>
      </c>
      <c r="J309" s="117"/>
      <c r="K309" s="117"/>
      <c r="L309" s="117"/>
      <c r="M309" s="84"/>
      <c r="O309" s="75" t="str">
        <f t="shared" si="131"/>
        <v/>
      </c>
      <c r="P309" s="75" t="str">
        <f t="shared" si="132"/>
        <v/>
      </c>
      <c r="Q309" s="75" t="str">
        <f t="shared" si="133"/>
        <v/>
      </c>
      <c r="R309" s="75" t="str">
        <f t="shared" si="134"/>
        <v/>
      </c>
      <c r="AB309" s="75" t="s">
        <v>1014</v>
      </c>
      <c r="AC309" s="75" t="s">
        <v>1247</v>
      </c>
      <c r="AD309" s="75" t="s">
        <v>5164</v>
      </c>
      <c r="AE309" s="75" t="s">
        <v>5165</v>
      </c>
      <c r="AF309" s="75" t="s">
        <v>5170</v>
      </c>
      <c r="AG309" s="75" t="s">
        <v>5182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130"/>
        <v/>
      </c>
      <c r="E310" s="85"/>
      <c r="F310" s="80" t="str">
        <f t="shared" si="127"/>
        <v/>
      </c>
      <c r="G310" s="118"/>
      <c r="H310" s="80" t="str">
        <f t="shared" si="128"/>
        <v/>
      </c>
      <c r="I310" s="80" t="str">
        <f t="shared" si="129"/>
        <v/>
      </c>
      <c r="J310" s="117"/>
      <c r="K310" s="117"/>
      <c r="L310" s="117"/>
      <c r="M310" s="84"/>
      <c r="O310" s="75" t="str">
        <f t="shared" si="131"/>
        <v/>
      </c>
      <c r="P310" s="75" t="str">
        <f t="shared" si="132"/>
        <v/>
      </c>
      <c r="Q310" s="75" t="str">
        <f t="shared" si="133"/>
        <v/>
      </c>
      <c r="R310" s="75" t="str">
        <f t="shared" si="134"/>
        <v/>
      </c>
      <c r="AB310" s="75" t="s">
        <v>1015</v>
      </c>
      <c r="AC310" s="75" t="s">
        <v>1016</v>
      </c>
      <c r="AD310" s="75" t="s">
        <v>5164</v>
      </c>
      <c r="AE310" s="75" t="s">
        <v>5165</v>
      </c>
      <c r="AF310" s="75" t="s">
        <v>5170</v>
      </c>
      <c r="AG310" s="75" t="s">
        <v>5182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130"/>
        <v/>
      </c>
      <c r="E311" s="85"/>
      <c r="F311" s="80" t="str">
        <f t="shared" si="127"/>
        <v/>
      </c>
      <c r="G311" s="118"/>
      <c r="H311" s="80" t="str">
        <f t="shared" si="128"/>
        <v/>
      </c>
      <c r="I311" s="80" t="str">
        <f t="shared" si="129"/>
        <v/>
      </c>
      <c r="J311" s="117"/>
      <c r="K311" s="117"/>
      <c r="L311" s="117"/>
      <c r="M311" s="84"/>
      <c r="O311" s="75" t="str">
        <f t="shared" si="131"/>
        <v/>
      </c>
      <c r="P311" s="75" t="str">
        <f t="shared" si="132"/>
        <v/>
      </c>
      <c r="Q311" s="75" t="str">
        <f t="shared" si="133"/>
        <v/>
      </c>
      <c r="R311" s="75" t="str">
        <f t="shared" si="134"/>
        <v/>
      </c>
      <c r="AB311" s="75" t="s">
        <v>3498</v>
      </c>
      <c r="AC311" s="75" t="s">
        <v>3499</v>
      </c>
      <c r="AD311" s="75" t="s">
        <v>5164</v>
      </c>
      <c r="AE311" s="75" t="s">
        <v>5165</v>
      </c>
      <c r="AF311" s="75" t="s">
        <v>5170</v>
      </c>
      <c r="AG311" s="75" t="s">
        <v>5182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130"/>
        <v/>
      </c>
      <c r="E312" s="85"/>
      <c r="F312" s="80" t="str">
        <f t="shared" si="127"/>
        <v/>
      </c>
      <c r="G312" s="118"/>
      <c r="H312" s="80" t="str">
        <f t="shared" si="128"/>
        <v/>
      </c>
      <c r="I312" s="80" t="str">
        <f t="shared" si="129"/>
        <v/>
      </c>
      <c r="J312" s="117"/>
      <c r="K312" s="117"/>
      <c r="L312" s="117"/>
      <c r="M312" s="84"/>
      <c r="O312" s="75" t="str">
        <f t="shared" si="131"/>
        <v/>
      </c>
      <c r="P312" s="75" t="str">
        <f t="shared" si="132"/>
        <v/>
      </c>
      <c r="Q312" s="75" t="str">
        <f t="shared" si="133"/>
        <v/>
      </c>
      <c r="R312" s="75" t="str">
        <f t="shared" si="134"/>
        <v/>
      </c>
      <c r="AB312" s="75" t="s">
        <v>1019</v>
      </c>
      <c r="AC312" s="75" t="s">
        <v>1020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130"/>
        <v/>
      </c>
      <c r="E313" s="85"/>
      <c r="F313" s="80" t="str">
        <f t="shared" si="127"/>
        <v/>
      </c>
      <c r="G313" s="118"/>
      <c r="H313" s="80" t="str">
        <f t="shared" si="128"/>
        <v/>
      </c>
      <c r="I313" s="80" t="str">
        <f t="shared" si="129"/>
        <v/>
      </c>
      <c r="J313" s="117"/>
      <c r="K313" s="117"/>
      <c r="L313" s="117"/>
      <c r="M313" s="84"/>
      <c r="O313" s="75" t="str">
        <f t="shared" si="131"/>
        <v/>
      </c>
      <c r="P313" s="75" t="str">
        <f t="shared" si="132"/>
        <v/>
      </c>
      <c r="Q313" s="75" t="str">
        <f t="shared" si="133"/>
        <v/>
      </c>
      <c r="R313" s="75" t="str">
        <f t="shared" si="134"/>
        <v/>
      </c>
      <c r="AB313" s="75" t="s">
        <v>1021</v>
      </c>
      <c r="AC313" s="75" t="s">
        <v>1022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130"/>
        <v/>
      </c>
      <c r="E314" s="85"/>
      <c r="F314" s="80" t="str">
        <f t="shared" si="127"/>
        <v/>
      </c>
      <c r="G314" s="118"/>
      <c r="H314" s="80" t="str">
        <f t="shared" si="128"/>
        <v/>
      </c>
      <c r="I314" s="80" t="str">
        <f t="shared" si="129"/>
        <v/>
      </c>
      <c r="J314" s="117"/>
      <c r="K314" s="117"/>
      <c r="L314" s="117"/>
      <c r="M314" s="84"/>
      <c r="O314" s="75" t="str">
        <f t="shared" si="131"/>
        <v/>
      </c>
      <c r="P314" s="75" t="str">
        <f t="shared" si="132"/>
        <v/>
      </c>
      <c r="Q314" s="75" t="str">
        <f t="shared" si="133"/>
        <v/>
      </c>
      <c r="R314" s="75" t="str">
        <f t="shared" si="134"/>
        <v/>
      </c>
      <c r="AB314" s="75" t="s">
        <v>1023</v>
      </c>
      <c r="AC314" s="75" t="s">
        <v>1024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130"/>
        <v/>
      </c>
      <c r="E315" s="85"/>
      <c r="F315" s="80" t="str">
        <f t="shared" si="127"/>
        <v/>
      </c>
      <c r="G315" s="118"/>
      <c r="H315" s="80" t="str">
        <f t="shared" si="128"/>
        <v/>
      </c>
      <c r="I315" s="80" t="str">
        <f t="shared" si="129"/>
        <v/>
      </c>
      <c r="J315" s="117"/>
      <c r="K315" s="117"/>
      <c r="L315" s="117"/>
      <c r="M315" s="84"/>
      <c r="O315" s="75" t="str">
        <f t="shared" si="131"/>
        <v/>
      </c>
      <c r="P315" s="75" t="str">
        <f t="shared" si="132"/>
        <v/>
      </c>
      <c r="Q315" s="75" t="str">
        <f t="shared" si="133"/>
        <v/>
      </c>
      <c r="R315" s="75" t="str">
        <f t="shared" si="134"/>
        <v/>
      </c>
      <c r="AB315" s="75" t="s">
        <v>1025</v>
      </c>
      <c r="AC315" s="75" t="s">
        <v>1026</v>
      </c>
      <c r="AD315" s="75" t="s">
        <v>5146</v>
      </c>
      <c r="AE315" s="75" t="s">
        <v>5147</v>
      </c>
      <c r="AF315" s="75" t="s">
        <v>5168</v>
      </c>
      <c r="AG315" s="75" t="s">
        <v>5178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130"/>
        <v/>
      </c>
      <c r="E316" s="85"/>
      <c r="F316" s="80" t="str">
        <f t="shared" si="127"/>
        <v/>
      </c>
      <c r="G316" s="118"/>
      <c r="H316" s="80" t="str">
        <f t="shared" si="128"/>
        <v/>
      </c>
      <c r="I316" s="80" t="str">
        <f t="shared" si="129"/>
        <v/>
      </c>
      <c r="J316" s="117"/>
      <c r="K316" s="117"/>
      <c r="L316" s="117"/>
      <c r="M316" s="84"/>
      <c r="O316" s="75" t="str">
        <f t="shared" si="131"/>
        <v/>
      </c>
      <c r="P316" s="75" t="str">
        <f t="shared" si="132"/>
        <v/>
      </c>
      <c r="Q316" s="75" t="str">
        <f t="shared" si="133"/>
        <v/>
      </c>
      <c r="R316" s="75" t="str">
        <f t="shared" si="134"/>
        <v/>
      </c>
      <c r="AB316" s="75" t="s">
        <v>1660</v>
      </c>
      <c r="AC316" s="75" t="s">
        <v>1661</v>
      </c>
      <c r="AD316" s="75" t="s">
        <v>5146</v>
      </c>
      <c r="AE316" s="75" t="s">
        <v>5147</v>
      </c>
      <c r="AF316" s="75" t="s">
        <v>5168</v>
      </c>
      <c r="AG316" s="75" t="s">
        <v>5178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130"/>
        <v/>
      </c>
      <c r="E317" s="85"/>
      <c r="F317" s="80" t="str">
        <f t="shared" si="127"/>
        <v/>
      </c>
      <c r="G317" s="118"/>
      <c r="H317" s="80" t="str">
        <f t="shared" si="128"/>
        <v/>
      </c>
      <c r="I317" s="80" t="str">
        <f t="shared" si="129"/>
        <v/>
      </c>
      <c r="J317" s="117"/>
      <c r="K317" s="117"/>
      <c r="L317" s="117"/>
      <c r="M317" s="84"/>
      <c r="O317" s="75" t="str">
        <f t="shared" si="131"/>
        <v/>
      </c>
      <c r="P317" s="75" t="str">
        <f t="shared" si="132"/>
        <v/>
      </c>
      <c r="Q317" s="75" t="str">
        <f t="shared" si="133"/>
        <v/>
      </c>
      <c r="R317" s="75" t="str">
        <f t="shared" si="134"/>
        <v/>
      </c>
      <c r="AB317" s="75" t="s">
        <v>1027</v>
      </c>
      <c r="AC317" s="75" t="s">
        <v>1028</v>
      </c>
      <c r="AD317" s="75" t="s">
        <v>5146</v>
      </c>
      <c r="AE317" s="75" t="s">
        <v>5147</v>
      </c>
      <c r="AF317" s="75" t="s">
        <v>5168</v>
      </c>
      <c r="AG317" s="75" t="s">
        <v>5178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130"/>
        <v/>
      </c>
      <c r="E318" s="85"/>
      <c r="F318" s="80" t="str">
        <f t="shared" si="127"/>
        <v/>
      </c>
      <c r="G318" s="118"/>
      <c r="H318" s="80" t="str">
        <f t="shared" si="128"/>
        <v/>
      </c>
      <c r="I318" s="80" t="str">
        <f t="shared" si="129"/>
        <v/>
      </c>
      <c r="J318" s="117"/>
      <c r="K318" s="117"/>
      <c r="L318" s="117"/>
      <c r="M318" s="84"/>
      <c r="O318" s="75" t="str">
        <f t="shared" si="131"/>
        <v/>
      </c>
      <c r="P318" s="75" t="str">
        <f t="shared" si="132"/>
        <v/>
      </c>
      <c r="Q318" s="75" t="str">
        <f t="shared" si="133"/>
        <v/>
      </c>
      <c r="R318" s="75" t="str">
        <f t="shared" si="134"/>
        <v/>
      </c>
      <c r="AB318" s="75" t="s">
        <v>2005</v>
      </c>
      <c r="AC318" s="75" t="s">
        <v>3500</v>
      </c>
      <c r="AD318" s="75" t="s">
        <v>5146</v>
      </c>
      <c r="AE318" s="75" t="s">
        <v>5147</v>
      </c>
      <c r="AF318" s="75" t="s">
        <v>5168</v>
      </c>
      <c r="AG318" s="75" t="s">
        <v>5178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130"/>
        <v/>
      </c>
      <c r="E319" s="85"/>
      <c r="F319" s="80" t="str">
        <f t="shared" si="127"/>
        <v/>
      </c>
      <c r="G319" s="118"/>
      <c r="H319" s="80" t="str">
        <f t="shared" si="128"/>
        <v/>
      </c>
      <c r="I319" s="80" t="str">
        <f t="shared" si="129"/>
        <v/>
      </c>
      <c r="J319" s="117"/>
      <c r="K319" s="117"/>
      <c r="L319" s="117"/>
      <c r="M319" s="84"/>
      <c r="O319" s="75" t="str">
        <f t="shared" si="131"/>
        <v/>
      </c>
      <c r="P319" s="75" t="str">
        <f t="shared" si="132"/>
        <v/>
      </c>
      <c r="Q319" s="75" t="str">
        <f t="shared" si="133"/>
        <v/>
      </c>
      <c r="R319" s="75" t="str">
        <f t="shared" si="134"/>
        <v/>
      </c>
      <c r="AB319" s="75" t="s">
        <v>1662</v>
      </c>
      <c r="AC319" s="75" t="s">
        <v>684</v>
      </c>
      <c r="AD319" s="75" t="s">
        <v>5146</v>
      </c>
      <c r="AE319" s="75" t="s">
        <v>5147</v>
      </c>
      <c r="AF319" s="75" t="s">
        <v>5168</v>
      </c>
      <c r="AG319" s="75" t="s">
        <v>5178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130"/>
        <v/>
      </c>
      <c r="E320" s="85"/>
      <c r="F320" s="80" t="str">
        <f t="shared" si="127"/>
        <v/>
      </c>
      <c r="G320" s="118"/>
      <c r="H320" s="80" t="str">
        <f t="shared" si="128"/>
        <v/>
      </c>
      <c r="I320" s="80" t="str">
        <f t="shared" si="129"/>
        <v/>
      </c>
      <c r="J320" s="117"/>
      <c r="K320" s="117"/>
      <c r="L320" s="117"/>
      <c r="M320" s="84"/>
      <c r="O320" s="75" t="str">
        <f t="shared" si="131"/>
        <v/>
      </c>
      <c r="P320" s="75" t="str">
        <f t="shared" si="132"/>
        <v/>
      </c>
      <c r="Q320" s="75" t="str">
        <f t="shared" si="133"/>
        <v/>
      </c>
      <c r="R320" s="75" t="str">
        <f t="shared" si="134"/>
        <v/>
      </c>
      <c r="AB320" s="75" t="s">
        <v>1031</v>
      </c>
      <c r="AC320" s="75" t="s">
        <v>1032</v>
      </c>
      <c r="AD320" s="75" t="s">
        <v>5150</v>
      </c>
      <c r="AE320" s="75" t="s">
        <v>5151</v>
      </c>
      <c r="AF320" s="75" t="s">
        <v>5168</v>
      </c>
      <c r="AG320" s="75" t="s">
        <v>5176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130"/>
        <v/>
      </c>
      <c r="E321" s="85"/>
      <c r="F321" s="80" t="str">
        <f t="shared" si="127"/>
        <v/>
      </c>
      <c r="G321" s="118"/>
      <c r="H321" s="80" t="str">
        <f t="shared" si="128"/>
        <v/>
      </c>
      <c r="I321" s="80" t="str">
        <f t="shared" si="129"/>
        <v/>
      </c>
      <c r="J321" s="117"/>
      <c r="K321" s="117"/>
      <c r="L321" s="117"/>
      <c r="M321" s="84"/>
      <c r="O321" s="75" t="str">
        <f t="shared" si="131"/>
        <v/>
      </c>
      <c r="P321" s="75" t="str">
        <f t="shared" si="132"/>
        <v/>
      </c>
      <c r="Q321" s="75" t="str">
        <f t="shared" si="133"/>
        <v/>
      </c>
      <c r="R321" s="75" t="str">
        <f t="shared" si="134"/>
        <v/>
      </c>
      <c r="AB321" s="75" t="s">
        <v>1033</v>
      </c>
      <c r="AC321" s="75" t="s">
        <v>1034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130"/>
        <v/>
      </c>
      <c r="E322" s="85"/>
      <c r="F322" s="80" t="str">
        <f t="shared" si="127"/>
        <v/>
      </c>
      <c r="G322" s="118"/>
      <c r="H322" s="80" t="str">
        <f t="shared" si="128"/>
        <v/>
      </c>
      <c r="I322" s="80" t="str">
        <f t="shared" si="129"/>
        <v/>
      </c>
      <c r="J322" s="117"/>
      <c r="K322" s="117"/>
      <c r="L322" s="117"/>
      <c r="M322" s="84"/>
      <c r="O322" s="75" t="str">
        <f t="shared" si="131"/>
        <v/>
      </c>
      <c r="P322" s="75" t="str">
        <f t="shared" si="132"/>
        <v/>
      </c>
      <c r="Q322" s="75" t="str">
        <f t="shared" si="133"/>
        <v/>
      </c>
      <c r="R322" s="75" t="str">
        <f t="shared" si="134"/>
        <v/>
      </c>
      <c r="AB322" s="75" t="s">
        <v>1033</v>
      </c>
      <c r="AC322" s="75" t="s">
        <v>1034</v>
      </c>
      <c r="AD322" s="75" t="s">
        <v>5150</v>
      </c>
      <c r="AE322" s="75" t="s">
        <v>5151</v>
      </c>
      <c r="AF322" s="75" t="s">
        <v>5168</v>
      </c>
      <c r="AG322" s="75" t="s">
        <v>5176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130"/>
        <v/>
      </c>
      <c r="E323" s="85"/>
      <c r="F323" s="80" t="str">
        <f t="shared" si="127"/>
        <v/>
      </c>
      <c r="G323" s="118"/>
      <c r="H323" s="80" t="str">
        <f t="shared" si="128"/>
        <v/>
      </c>
      <c r="I323" s="80" t="str">
        <f t="shared" si="129"/>
        <v/>
      </c>
      <c r="J323" s="117"/>
      <c r="K323" s="117"/>
      <c r="L323" s="117"/>
      <c r="M323" s="84"/>
      <c r="O323" s="75" t="str">
        <f t="shared" si="131"/>
        <v/>
      </c>
      <c r="P323" s="75" t="str">
        <f t="shared" si="132"/>
        <v/>
      </c>
      <c r="Q323" s="75" t="str">
        <f t="shared" si="133"/>
        <v/>
      </c>
      <c r="R323" s="75" t="str">
        <f t="shared" si="134"/>
        <v/>
      </c>
      <c r="AB323" s="75" t="s">
        <v>1035</v>
      </c>
      <c r="AC323" s="75" t="s">
        <v>1036</v>
      </c>
      <c r="AD323" s="75" t="s">
        <v>5150</v>
      </c>
      <c r="AE323" s="75" t="s">
        <v>5151</v>
      </c>
      <c r="AF323" s="75" t="s">
        <v>5168</v>
      </c>
      <c r="AG323" s="75" t="s">
        <v>5176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130"/>
        <v/>
      </c>
      <c r="E324" s="85"/>
      <c r="F324" s="80" t="str">
        <f t="shared" si="127"/>
        <v/>
      </c>
      <c r="G324" s="118"/>
      <c r="H324" s="80" t="str">
        <f t="shared" si="128"/>
        <v/>
      </c>
      <c r="I324" s="80" t="str">
        <f t="shared" si="129"/>
        <v/>
      </c>
      <c r="J324" s="117"/>
      <c r="K324" s="117"/>
      <c r="L324" s="117"/>
      <c r="M324" s="84"/>
      <c r="O324" s="75" t="str">
        <f t="shared" si="131"/>
        <v/>
      </c>
      <c r="P324" s="75" t="str">
        <f t="shared" si="132"/>
        <v/>
      </c>
      <c r="Q324" s="75" t="str">
        <f t="shared" si="133"/>
        <v/>
      </c>
      <c r="R324" s="75" t="str">
        <f t="shared" si="134"/>
        <v/>
      </c>
      <c r="AB324" s="75" t="s">
        <v>1037</v>
      </c>
      <c r="AC324" s="75" t="s">
        <v>1038</v>
      </c>
      <c r="AD324" s="75" t="s">
        <v>5150</v>
      </c>
      <c r="AE324" s="75" t="s">
        <v>5151</v>
      </c>
      <c r="AF324" s="75" t="s">
        <v>5168</v>
      </c>
      <c r="AG324" s="75" t="s">
        <v>5176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130"/>
        <v/>
      </c>
      <c r="E325" s="85"/>
      <c r="F325" s="80" t="str">
        <f t="shared" ref="F325:F388" si="135">IFERROR(VLOOKUP(E325,$V$5:$X$203,2,FALSE),"")</f>
        <v/>
      </c>
      <c r="G325" s="118"/>
      <c r="H325" s="80" t="str">
        <f t="shared" ref="H325:H388" si="136">IFERROR(VLOOKUP(G325,$AB$7:$AC$401,2,FALSE),"")</f>
        <v/>
      </c>
      <c r="I325" s="80" t="str">
        <f t="shared" ref="I325:I388" si="137">IFERROR(VLOOKUP(G325,$AB$7:$AF$401,3,FALSE),"")</f>
        <v/>
      </c>
      <c r="J325" s="117"/>
      <c r="K325" s="117"/>
      <c r="L325" s="117"/>
      <c r="M325" s="84"/>
      <c r="O325" s="75" t="str">
        <f t="shared" si="131"/>
        <v/>
      </c>
      <c r="P325" s="75" t="str">
        <f t="shared" si="132"/>
        <v/>
      </c>
      <c r="Q325" s="75" t="str">
        <f t="shared" si="133"/>
        <v/>
      </c>
      <c r="R325" s="75" t="str">
        <f t="shared" si="134"/>
        <v/>
      </c>
      <c r="AB325" s="75" t="s">
        <v>1039</v>
      </c>
      <c r="AC325" s="75" t="s">
        <v>1040</v>
      </c>
      <c r="AD325" s="75" t="s">
        <v>5150</v>
      </c>
      <c r="AE325" s="75" t="s">
        <v>5151</v>
      </c>
      <c r="AF325" s="75" t="s">
        <v>5168</v>
      </c>
      <c r="AG325" s="75" t="s">
        <v>5176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130"/>
        <v/>
      </c>
      <c r="E326" s="85"/>
      <c r="F326" s="80" t="str">
        <f t="shared" si="135"/>
        <v/>
      </c>
      <c r="G326" s="118"/>
      <c r="H326" s="80" t="str">
        <f t="shared" si="136"/>
        <v/>
      </c>
      <c r="I326" s="80" t="str">
        <f t="shared" si="137"/>
        <v/>
      </c>
      <c r="J326" s="117"/>
      <c r="K326" s="117"/>
      <c r="L326" s="117"/>
      <c r="M326" s="84"/>
      <c r="O326" s="75" t="str">
        <f t="shared" si="131"/>
        <v/>
      </c>
      <c r="P326" s="75" t="str">
        <f t="shared" si="132"/>
        <v/>
      </c>
      <c r="Q326" s="75" t="str">
        <f t="shared" si="133"/>
        <v/>
      </c>
      <c r="R326" s="75" t="str">
        <f t="shared" si="134"/>
        <v/>
      </c>
      <c r="AB326" s="75" t="s">
        <v>1041</v>
      </c>
      <c r="AC326" s="75" t="s">
        <v>1042</v>
      </c>
      <c r="AD326" s="75" t="s">
        <v>5150</v>
      </c>
      <c r="AE326" s="75" t="s">
        <v>5151</v>
      </c>
      <c r="AF326" s="75" t="s">
        <v>5168</v>
      </c>
      <c r="AG326" s="75" t="s">
        <v>5176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130"/>
        <v/>
      </c>
      <c r="E327" s="85"/>
      <c r="F327" s="80" t="str">
        <f t="shared" si="135"/>
        <v/>
      </c>
      <c r="G327" s="118"/>
      <c r="H327" s="80" t="str">
        <f t="shared" si="136"/>
        <v/>
      </c>
      <c r="I327" s="80" t="str">
        <f t="shared" si="137"/>
        <v/>
      </c>
      <c r="J327" s="117"/>
      <c r="K327" s="117"/>
      <c r="L327" s="117"/>
      <c r="M327" s="84"/>
      <c r="O327" s="75" t="str">
        <f t="shared" si="131"/>
        <v/>
      </c>
      <c r="P327" s="75" t="str">
        <f t="shared" si="132"/>
        <v/>
      </c>
      <c r="Q327" s="75" t="str">
        <f t="shared" si="133"/>
        <v/>
      </c>
      <c r="R327" s="75" t="str">
        <f t="shared" si="134"/>
        <v/>
      </c>
      <c r="AB327" s="75" t="s">
        <v>1043</v>
      </c>
      <c r="AC327" s="75" t="s">
        <v>1044</v>
      </c>
      <c r="AD327" s="75" t="s">
        <v>5150</v>
      </c>
      <c r="AE327" s="75" t="s">
        <v>5151</v>
      </c>
      <c r="AF327" s="75" t="s">
        <v>5168</v>
      </c>
      <c r="AG327" s="75" t="s">
        <v>5176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130"/>
        <v/>
      </c>
      <c r="E328" s="85"/>
      <c r="F328" s="80" t="str">
        <f t="shared" si="135"/>
        <v/>
      </c>
      <c r="G328" s="118"/>
      <c r="H328" s="80" t="str">
        <f t="shared" si="136"/>
        <v/>
      </c>
      <c r="I328" s="80" t="str">
        <f t="shared" si="137"/>
        <v/>
      </c>
      <c r="J328" s="117"/>
      <c r="K328" s="117"/>
      <c r="L328" s="117"/>
      <c r="M328" s="84"/>
      <c r="O328" s="75" t="str">
        <f t="shared" si="131"/>
        <v/>
      </c>
      <c r="P328" s="75" t="str">
        <f t="shared" si="132"/>
        <v/>
      </c>
      <c r="Q328" s="75" t="str">
        <f t="shared" si="133"/>
        <v/>
      </c>
      <c r="R328" s="75" t="str">
        <f t="shared" si="134"/>
        <v/>
      </c>
      <c r="AB328" s="75" t="s">
        <v>1045</v>
      </c>
      <c r="AC328" s="75" t="s">
        <v>1046</v>
      </c>
      <c r="AD328" s="75" t="s">
        <v>5150</v>
      </c>
      <c r="AE328" s="75" t="s">
        <v>5151</v>
      </c>
      <c r="AF328" s="75" t="s">
        <v>5168</v>
      </c>
      <c r="AG328" s="75" t="s">
        <v>5176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130"/>
        <v/>
      </c>
      <c r="E329" s="85"/>
      <c r="F329" s="80" t="str">
        <f t="shared" si="135"/>
        <v/>
      </c>
      <c r="G329" s="118"/>
      <c r="H329" s="80" t="str">
        <f t="shared" si="136"/>
        <v/>
      </c>
      <c r="I329" s="80" t="str">
        <f t="shared" si="137"/>
        <v/>
      </c>
      <c r="J329" s="117"/>
      <c r="K329" s="117"/>
      <c r="L329" s="117"/>
      <c r="M329" s="84"/>
      <c r="O329" s="75" t="str">
        <f t="shared" si="131"/>
        <v/>
      </c>
      <c r="P329" s="75" t="str">
        <f t="shared" si="132"/>
        <v/>
      </c>
      <c r="Q329" s="75" t="str">
        <f t="shared" si="133"/>
        <v/>
      </c>
      <c r="R329" s="75" t="str">
        <f t="shared" si="134"/>
        <v/>
      </c>
      <c r="AB329" s="75" t="s">
        <v>1047</v>
      </c>
      <c r="AC329" s="75" t="s">
        <v>1048</v>
      </c>
      <c r="AD329" s="75" t="s">
        <v>5150</v>
      </c>
      <c r="AE329" s="75" t="s">
        <v>5151</v>
      </c>
      <c r="AF329" s="75" t="s">
        <v>5168</v>
      </c>
      <c r="AG329" s="75" t="s">
        <v>5176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130"/>
        <v/>
      </c>
      <c r="E330" s="85"/>
      <c r="F330" s="80" t="str">
        <f t="shared" si="135"/>
        <v/>
      </c>
      <c r="G330" s="118"/>
      <c r="H330" s="80" t="str">
        <f t="shared" si="136"/>
        <v/>
      </c>
      <c r="I330" s="80" t="str">
        <f t="shared" si="137"/>
        <v/>
      </c>
      <c r="J330" s="117"/>
      <c r="K330" s="117"/>
      <c r="L330" s="117"/>
      <c r="M330" s="84"/>
      <c r="O330" s="75" t="str">
        <f t="shared" si="131"/>
        <v/>
      </c>
      <c r="P330" s="75" t="str">
        <f t="shared" si="132"/>
        <v/>
      </c>
      <c r="Q330" s="75" t="str">
        <f t="shared" si="133"/>
        <v/>
      </c>
      <c r="R330" s="75" t="str">
        <f t="shared" si="134"/>
        <v/>
      </c>
      <c r="AB330" s="75" t="s">
        <v>1049</v>
      </c>
      <c r="AC330" s="75" t="s">
        <v>1050</v>
      </c>
      <c r="AD330" s="75" t="s">
        <v>5150</v>
      </c>
      <c r="AE330" s="75" t="s">
        <v>5151</v>
      </c>
      <c r="AF330" s="75" t="s">
        <v>5168</v>
      </c>
      <c r="AG330" s="75" t="s">
        <v>5176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ref="D331:D394" si="138">IFERROR(VLOOKUP(C331,$S$7:$T$48,2,FALSE),"")</f>
        <v/>
      </c>
      <c r="E331" s="85"/>
      <c r="F331" s="80" t="str">
        <f t="shared" si="135"/>
        <v/>
      </c>
      <c r="G331" s="118"/>
      <c r="H331" s="80" t="str">
        <f t="shared" si="136"/>
        <v/>
      </c>
      <c r="I331" s="80" t="str">
        <f t="shared" si="137"/>
        <v/>
      </c>
      <c r="J331" s="117"/>
      <c r="K331" s="117"/>
      <c r="L331" s="117"/>
      <c r="M331" s="84"/>
      <c r="O331" s="75" t="str">
        <f t="shared" si="131"/>
        <v/>
      </c>
      <c r="P331" s="75" t="str">
        <f t="shared" si="132"/>
        <v/>
      </c>
      <c r="Q331" s="75" t="str">
        <f t="shared" si="133"/>
        <v/>
      </c>
      <c r="R331" s="75" t="str">
        <f t="shared" si="134"/>
        <v/>
      </c>
      <c r="AB331" s="75" t="s">
        <v>1051</v>
      </c>
      <c r="AC331" s="75" t="s">
        <v>1052</v>
      </c>
      <c r="AD331" s="75" t="s">
        <v>5150</v>
      </c>
      <c r="AE331" s="75" t="s">
        <v>5151</v>
      </c>
      <c r="AF331" s="75" t="s">
        <v>5168</v>
      </c>
      <c r="AG331" s="75" t="s">
        <v>5176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138"/>
        <v/>
      </c>
      <c r="E332" s="85"/>
      <c r="F332" s="80" t="str">
        <f t="shared" si="135"/>
        <v/>
      </c>
      <c r="G332" s="118"/>
      <c r="H332" s="80" t="str">
        <f t="shared" si="136"/>
        <v/>
      </c>
      <c r="I332" s="80" t="str">
        <f t="shared" si="137"/>
        <v/>
      </c>
      <c r="J332" s="117"/>
      <c r="K332" s="117"/>
      <c r="L332" s="117"/>
      <c r="M332" s="84"/>
      <c r="O332" s="75" t="str">
        <f t="shared" si="131"/>
        <v/>
      </c>
      <c r="P332" s="75" t="str">
        <f t="shared" si="132"/>
        <v/>
      </c>
      <c r="Q332" s="75" t="str">
        <f t="shared" si="133"/>
        <v/>
      </c>
      <c r="R332" s="75" t="str">
        <f t="shared" si="134"/>
        <v/>
      </c>
      <c r="AB332" s="75" t="s">
        <v>1053</v>
      </c>
      <c r="AC332" s="75" t="s">
        <v>1054</v>
      </c>
      <c r="AD332" s="75" t="s">
        <v>5150</v>
      </c>
      <c r="AE332" s="75" t="s">
        <v>5151</v>
      </c>
      <c r="AF332" s="75" t="s">
        <v>5168</v>
      </c>
      <c r="AG332" s="75" t="s">
        <v>5176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138"/>
        <v/>
      </c>
      <c r="E333" s="85"/>
      <c r="F333" s="80" t="str">
        <f t="shared" si="135"/>
        <v/>
      </c>
      <c r="G333" s="118"/>
      <c r="H333" s="80" t="str">
        <f t="shared" si="136"/>
        <v/>
      </c>
      <c r="I333" s="80" t="str">
        <f t="shared" si="137"/>
        <v/>
      </c>
      <c r="J333" s="117"/>
      <c r="K333" s="117"/>
      <c r="L333" s="117"/>
      <c r="M333" s="84"/>
      <c r="O333" s="75" t="str">
        <f t="shared" si="131"/>
        <v/>
      </c>
      <c r="P333" s="75" t="str">
        <f t="shared" si="132"/>
        <v/>
      </c>
      <c r="Q333" s="75" t="str">
        <f t="shared" si="133"/>
        <v/>
      </c>
      <c r="R333" s="75" t="str">
        <f t="shared" si="134"/>
        <v/>
      </c>
      <c r="AB333" s="75" t="s">
        <v>1055</v>
      </c>
      <c r="AC333" s="75" t="s">
        <v>1056</v>
      </c>
      <c r="AD333" s="75" t="s">
        <v>5150</v>
      </c>
      <c r="AE333" s="75" t="s">
        <v>5151</v>
      </c>
      <c r="AF333" s="75" t="s">
        <v>5168</v>
      </c>
      <c r="AG333" s="75" t="s">
        <v>5176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138"/>
        <v/>
      </c>
      <c r="E334" s="85"/>
      <c r="F334" s="80" t="str">
        <f t="shared" si="135"/>
        <v/>
      </c>
      <c r="G334" s="118"/>
      <c r="H334" s="80" t="str">
        <f t="shared" si="136"/>
        <v/>
      </c>
      <c r="I334" s="80" t="str">
        <f t="shared" si="137"/>
        <v/>
      </c>
      <c r="J334" s="117"/>
      <c r="K334" s="117"/>
      <c r="L334" s="117"/>
      <c r="M334" s="84"/>
      <c r="O334" s="75" t="str">
        <f t="shared" ref="O334:O397" si="139">LEFT(E334,3)</f>
        <v/>
      </c>
      <c r="P334" s="75" t="str">
        <f t="shared" ref="P334:P397" si="140">LEFT(E334,2)</f>
        <v/>
      </c>
      <c r="Q334" s="75" t="str">
        <f t="shared" ref="Q334:Q397" si="141">LEFT(C334,3)</f>
        <v/>
      </c>
      <c r="R334" s="75" t="str">
        <f t="shared" ref="R334:R397" si="142">MID(I334,2,2)</f>
        <v/>
      </c>
      <c r="AB334" s="75" t="s">
        <v>1663</v>
      </c>
      <c r="AC334" s="75" t="s">
        <v>1664</v>
      </c>
      <c r="AD334" s="75" t="s">
        <v>5150</v>
      </c>
      <c r="AE334" s="75" t="s">
        <v>5151</v>
      </c>
      <c r="AF334" s="75" t="s">
        <v>5168</v>
      </c>
      <c r="AG334" s="75" t="s">
        <v>5176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138"/>
        <v/>
      </c>
      <c r="E335" s="85"/>
      <c r="F335" s="80" t="str">
        <f t="shared" si="135"/>
        <v/>
      </c>
      <c r="G335" s="118"/>
      <c r="H335" s="80" t="str">
        <f t="shared" si="136"/>
        <v/>
      </c>
      <c r="I335" s="80" t="str">
        <f t="shared" si="137"/>
        <v/>
      </c>
      <c r="J335" s="117"/>
      <c r="K335" s="117"/>
      <c r="L335" s="117"/>
      <c r="M335" s="84"/>
      <c r="O335" s="75" t="str">
        <f t="shared" si="139"/>
        <v/>
      </c>
      <c r="P335" s="75" t="str">
        <f t="shared" si="140"/>
        <v/>
      </c>
      <c r="Q335" s="75" t="str">
        <f t="shared" si="141"/>
        <v/>
      </c>
      <c r="R335" s="75" t="str">
        <f t="shared" si="142"/>
        <v/>
      </c>
      <c r="AB335" s="75" t="s">
        <v>1970</v>
      </c>
      <c r="AC335" s="75" t="s">
        <v>1971</v>
      </c>
      <c r="AD335" s="75" t="s">
        <v>5150</v>
      </c>
      <c r="AE335" s="75" t="s">
        <v>5151</v>
      </c>
      <c r="AF335" s="75" t="s">
        <v>5168</v>
      </c>
      <c r="AG335" s="75" t="s">
        <v>5176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138"/>
        <v/>
      </c>
      <c r="E336" s="85"/>
      <c r="F336" s="80" t="str">
        <f t="shared" si="135"/>
        <v/>
      </c>
      <c r="G336" s="118"/>
      <c r="H336" s="80" t="str">
        <f t="shared" si="136"/>
        <v/>
      </c>
      <c r="I336" s="80" t="str">
        <f t="shared" si="137"/>
        <v/>
      </c>
      <c r="J336" s="117"/>
      <c r="K336" s="117"/>
      <c r="L336" s="117"/>
      <c r="M336" s="84"/>
      <c r="O336" s="75" t="str">
        <f t="shared" si="139"/>
        <v/>
      </c>
      <c r="P336" s="75" t="str">
        <f t="shared" si="140"/>
        <v/>
      </c>
      <c r="Q336" s="75" t="str">
        <f t="shared" si="141"/>
        <v/>
      </c>
      <c r="R336" s="75" t="str">
        <f t="shared" si="142"/>
        <v/>
      </c>
      <c r="AB336" s="75" t="s">
        <v>3501</v>
      </c>
      <c r="AC336" s="75" t="s">
        <v>3502</v>
      </c>
      <c r="AD336" s="75" t="s">
        <v>5150</v>
      </c>
      <c r="AE336" s="75" t="s">
        <v>5151</v>
      </c>
      <c r="AF336" s="75" t="s">
        <v>5168</v>
      </c>
      <c r="AG336" s="75" t="s">
        <v>5176</v>
      </c>
    </row>
    <row r="337" spans="1:33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138"/>
        <v/>
      </c>
      <c r="E337" s="85"/>
      <c r="F337" s="80" t="str">
        <f t="shared" si="135"/>
        <v/>
      </c>
      <c r="G337" s="118"/>
      <c r="H337" s="80" t="str">
        <f t="shared" si="136"/>
        <v/>
      </c>
      <c r="I337" s="80" t="str">
        <f t="shared" si="137"/>
        <v/>
      </c>
      <c r="J337" s="117"/>
      <c r="K337" s="117"/>
      <c r="L337" s="117"/>
      <c r="M337" s="84"/>
      <c r="O337" s="75" t="str">
        <f t="shared" si="139"/>
        <v/>
      </c>
      <c r="P337" s="75" t="str">
        <f t="shared" si="140"/>
        <v/>
      </c>
      <c r="Q337" s="75" t="str">
        <f t="shared" si="141"/>
        <v/>
      </c>
      <c r="R337" s="75" t="str">
        <f t="shared" si="142"/>
        <v/>
      </c>
      <c r="AB337" s="75" t="s">
        <v>3503</v>
      </c>
      <c r="AC337" s="75" t="s">
        <v>3504</v>
      </c>
      <c r="AD337" s="75" t="s">
        <v>5150</v>
      </c>
      <c r="AE337" s="75" t="s">
        <v>5151</v>
      </c>
      <c r="AF337" s="75" t="s">
        <v>5168</v>
      </c>
      <c r="AG337" s="75" t="s">
        <v>5176</v>
      </c>
    </row>
    <row r="338" spans="1:33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138"/>
        <v/>
      </c>
      <c r="E338" s="85"/>
      <c r="F338" s="80" t="str">
        <f t="shared" si="135"/>
        <v/>
      </c>
      <c r="G338" s="118"/>
      <c r="H338" s="80" t="str">
        <f t="shared" si="136"/>
        <v/>
      </c>
      <c r="I338" s="80" t="str">
        <f t="shared" si="137"/>
        <v/>
      </c>
      <c r="J338" s="117"/>
      <c r="K338" s="117"/>
      <c r="L338" s="117"/>
      <c r="M338" s="84"/>
      <c r="O338" s="75" t="str">
        <f t="shared" si="139"/>
        <v/>
      </c>
      <c r="P338" s="75" t="str">
        <f t="shared" si="140"/>
        <v/>
      </c>
      <c r="Q338" s="75" t="str">
        <f t="shared" si="141"/>
        <v/>
      </c>
      <c r="R338" s="75" t="str">
        <f t="shared" si="142"/>
        <v/>
      </c>
      <c r="AB338" s="75" t="s">
        <v>1972</v>
      </c>
      <c r="AC338" s="75" t="s">
        <v>1973</v>
      </c>
      <c r="AD338" s="75" t="s">
        <v>5150</v>
      </c>
      <c r="AE338" s="75" t="s">
        <v>5151</v>
      </c>
      <c r="AF338" s="75" t="s">
        <v>5168</v>
      </c>
      <c r="AG338" s="75" t="s">
        <v>5176</v>
      </c>
    </row>
    <row r="339" spans="1:33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138"/>
        <v/>
      </c>
      <c r="E339" s="85"/>
      <c r="F339" s="80" t="str">
        <f t="shared" si="135"/>
        <v/>
      </c>
      <c r="G339" s="118"/>
      <c r="H339" s="80" t="str">
        <f t="shared" si="136"/>
        <v/>
      </c>
      <c r="I339" s="80" t="str">
        <f t="shared" si="137"/>
        <v/>
      </c>
      <c r="J339" s="117"/>
      <c r="K339" s="117"/>
      <c r="L339" s="117"/>
      <c r="M339" s="84"/>
      <c r="O339" s="75" t="str">
        <f t="shared" si="139"/>
        <v/>
      </c>
      <c r="P339" s="75" t="str">
        <f t="shared" si="140"/>
        <v/>
      </c>
      <c r="Q339" s="75" t="str">
        <f t="shared" si="141"/>
        <v/>
      </c>
      <c r="R339" s="75" t="str">
        <f t="shared" si="142"/>
        <v/>
      </c>
      <c r="AB339" s="75" t="s">
        <v>1057</v>
      </c>
      <c r="AC339" s="75" t="s">
        <v>1058</v>
      </c>
      <c r="AD339" s="75" t="s">
        <v>5150</v>
      </c>
      <c r="AE339" s="75" t="s">
        <v>5151</v>
      </c>
      <c r="AF339" s="75" t="s">
        <v>5168</v>
      </c>
      <c r="AG339" s="75" t="s">
        <v>5176</v>
      </c>
    </row>
    <row r="340" spans="1:33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138"/>
        <v/>
      </c>
      <c r="E340" s="85"/>
      <c r="F340" s="80" t="str">
        <f t="shared" si="135"/>
        <v/>
      </c>
      <c r="G340" s="118"/>
      <c r="H340" s="80" t="str">
        <f t="shared" si="136"/>
        <v/>
      </c>
      <c r="I340" s="80" t="str">
        <f t="shared" si="137"/>
        <v/>
      </c>
      <c r="J340" s="117"/>
      <c r="K340" s="117"/>
      <c r="L340" s="117"/>
      <c r="M340" s="84"/>
      <c r="O340" s="75" t="str">
        <f t="shared" si="139"/>
        <v/>
      </c>
      <c r="P340" s="75" t="str">
        <f t="shared" si="140"/>
        <v/>
      </c>
      <c r="Q340" s="75" t="str">
        <f t="shared" si="141"/>
        <v/>
      </c>
      <c r="R340" s="75" t="str">
        <f t="shared" si="142"/>
        <v/>
      </c>
      <c r="AB340" s="75" t="s">
        <v>1059</v>
      </c>
      <c r="AC340" s="75" t="s">
        <v>1060</v>
      </c>
      <c r="AD340" s="75" t="s">
        <v>5150</v>
      </c>
      <c r="AE340" s="75" t="s">
        <v>5151</v>
      </c>
      <c r="AF340" s="75" t="s">
        <v>5168</v>
      </c>
      <c r="AG340" s="75" t="s">
        <v>5176</v>
      </c>
    </row>
    <row r="341" spans="1:33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138"/>
        <v/>
      </c>
      <c r="E341" s="85"/>
      <c r="F341" s="80" t="str">
        <f t="shared" si="135"/>
        <v/>
      </c>
      <c r="G341" s="118"/>
      <c r="H341" s="80" t="str">
        <f t="shared" si="136"/>
        <v/>
      </c>
      <c r="I341" s="80" t="str">
        <f t="shared" si="137"/>
        <v/>
      </c>
      <c r="J341" s="117"/>
      <c r="K341" s="117"/>
      <c r="L341" s="117"/>
      <c r="M341" s="84"/>
      <c r="O341" s="75" t="str">
        <f t="shared" si="139"/>
        <v/>
      </c>
      <c r="P341" s="75" t="str">
        <f t="shared" si="140"/>
        <v/>
      </c>
      <c r="Q341" s="75" t="str">
        <f t="shared" si="141"/>
        <v/>
      </c>
      <c r="R341" s="75" t="str">
        <f t="shared" si="142"/>
        <v/>
      </c>
      <c r="AB341" s="75" t="s">
        <v>1061</v>
      </c>
      <c r="AC341" s="75" t="s">
        <v>684</v>
      </c>
      <c r="AD341" s="75" t="s">
        <v>5150</v>
      </c>
      <c r="AE341" s="75" t="s">
        <v>5151</v>
      </c>
      <c r="AF341" s="75" t="s">
        <v>5168</v>
      </c>
      <c r="AG341" s="75" t="s">
        <v>5176</v>
      </c>
    </row>
    <row r="342" spans="1:33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138"/>
        <v/>
      </c>
      <c r="E342" s="85"/>
      <c r="F342" s="80" t="str">
        <f t="shared" si="135"/>
        <v/>
      </c>
      <c r="G342" s="118"/>
      <c r="H342" s="80" t="str">
        <f t="shared" si="136"/>
        <v/>
      </c>
      <c r="I342" s="80" t="str">
        <f t="shared" si="137"/>
        <v/>
      </c>
      <c r="J342" s="117"/>
      <c r="K342" s="117"/>
      <c r="L342" s="117"/>
      <c r="M342" s="84"/>
      <c r="O342" s="75" t="str">
        <f t="shared" si="139"/>
        <v/>
      </c>
      <c r="P342" s="75" t="str">
        <f t="shared" si="140"/>
        <v/>
      </c>
      <c r="Q342" s="75" t="str">
        <f t="shared" si="141"/>
        <v/>
      </c>
      <c r="R342" s="75" t="str">
        <f t="shared" si="142"/>
        <v/>
      </c>
      <c r="AB342" s="75" t="s">
        <v>1064</v>
      </c>
      <c r="AC342" s="75" t="s">
        <v>1065</v>
      </c>
      <c r="AD342" s="75" t="s">
        <v>5146</v>
      </c>
      <c r="AE342" s="75" t="s">
        <v>5147</v>
      </c>
      <c r="AF342" s="75" t="s">
        <v>5168</v>
      </c>
      <c r="AG342" s="75" t="s">
        <v>5178</v>
      </c>
    </row>
    <row r="343" spans="1:33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138"/>
        <v/>
      </c>
      <c r="E343" s="85"/>
      <c r="F343" s="80" t="str">
        <f t="shared" si="135"/>
        <v/>
      </c>
      <c r="G343" s="118"/>
      <c r="H343" s="80" t="str">
        <f t="shared" si="136"/>
        <v/>
      </c>
      <c r="I343" s="80" t="str">
        <f t="shared" si="137"/>
        <v/>
      </c>
      <c r="J343" s="117"/>
      <c r="K343" s="117"/>
      <c r="L343" s="117"/>
      <c r="M343" s="84"/>
      <c r="O343" s="75" t="str">
        <f t="shared" si="139"/>
        <v/>
      </c>
      <c r="P343" s="75" t="str">
        <f t="shared" si="140"/>
        <v/>
      </c>
      <c r="Q343" s="75" t="str">
        <f t="shared" si="141"/>
        <v/>
      </c>
      <c r="R343" s="75" t="str">
        <f t="shared" si="142"/>
        <v/>
      </c>
      <c r="AB343" s="75" t="s">
        <v>1066</v>
      </c>
      <c r="AC343" s="75" t="s">
        <v>1665</v>
      </c>
      <c r="AD343" s="75" t="s">
        <v>5146</v>
      </c>
      <c r="AE343" s="75" t="s">
        <v>5147</v>
      </c>
      <c r="AF343" s="75" t="s">
        <v>5168</v>
      </c>
      <c r="AG343" s="75" t="s">
        <v>5178</v>
      </c>
    </row>
    <row r="344" spans="1:33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138"/>
        <v/>
      </c>
      <c r="E344" s="85"/>
      <c r="F344" s="80" t="str">
        <f t="shared" si="135"/>
        <v/>
      </c>
      <c r="G344" s="118"/>
      <c r="H344" s="80" t="str">
        <f t="shared" si="136"/>
        <v/>
      </c>
      <c r="I344" s="80" t="str">
        <f t="shared" si="137"/>
        <v/>
      </c>
      <c r="J344" s="117"/>
      <c r="K344" s="117"/>
      <c r="L344" s="117"/>
      <c r="M344" s="84"/>
      <c r="O344" s="75" t="str">
        <f t="shared" si="139"/>
        <v/>
      </c>
      <c r="P344" s="75" t="str">
        <f t="shared" si="140"/>
        <v/>
      </c>
      <c r="Q344" s="75" t="str">
        <f t="shared" si="141"/>
        <v/>
      </c>
      <c r="R344" s="75" t="str">
        <f t="shared" si="142"/>
        <v/>
      </c>
      <c r="AB344" s="75" t="s">
        <v>1067</v>
      </c>
      <c r="AC344" s="75" t="s">
        <v>1068</v>
      </c>
      <c r="AD344" s="75" t="s">
        <v>5146</v>
      </c>
      <c r="AE344" s="75" t="s">
        <v>5147</v>
      </c>
      <c r="AF344" s="75" t="s">
        <v>5168</v>
      </c>
      <c r="AG344" s="75" t="s">
        <v>5178</v>
      </c>
    </row>
    <row r="345" spans="1:33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138"/>
        <v/>
      </c>
      <c r="E345" s="85"/>
      <c r="F345" s="80" t="str">
        <f t="shared" si="135"/>
        <v/>
      </c>
      <c r="G345" s="118"/>
      <c r="H345" s="80" t="str">
        <f t="shared" si="136"/>
        <v/>
      </c>
      <c r="I345" s="80" t="str">
        <f t="shared" si="137"/>
        <v/>
      </c>
      <c r="J345" s="117"/>
      <c r="K345" s="117"/>
      <c r="L345" s="117"/>
      <c r="M345" s="84"/>
      <c r="O345" s="75" t="str">
        <f t="shared" si="139"/>
        <v/>
      </c>
      <c r="P345" s="75" t="str">
        <f t="shared" si="140"/>
        <v/>
      </c>
      <c r="Q345" s="75" t="str">
        <f t="shared" si="141"/>
        <v/>
      </c>
      <c r="R345" s="75" t="str">
        <f t="shared" si="142"/>
        <v/>
      </c>
      <c r="AB345" s="75" t="s">
        <v>3505</v>
      </c>
      <c r="AC345" s="75" t="s">
        <v>3506</v>
      </c>
      <c r="AD345" s="75" t="s">
        <v>5146</v>
      </c>
      <c r="AE345" s="75" t="s">
        <v>5147</v>
      </c>
      <c r="AF345" s="75" t="s">
        <v>5168</v>
      </c>
      <c r="AG345" s="75" t="s">
        <v>5178</v>
      </c>
    </row>
    <row r="346" spans="1:33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138"/>
        <v/>
      </c>
      <c r="E346" s="85"/>
      <c r="F346" s="80" t="str">
        <f t="shared" si="135"/>
        <v/>
      </c>
      <c r="G346" s="118"/>
      <c r="H346" s="80" t="str">
        <f t="shared" si="136"/>
        <v/>
      </c>
      <c r="I346" s="80" t="str">
        <f t="shared" si="137"/>
        <v/>
      </c>
      <c r="J346" s="117"/>
      <c r="K346" s="117"/>
      <c r="L346" s="117"/>
      <c r="M346" s="84"/>
      <c r="O346" s="75" t="str">
        <f t="shared" si="139"/>
        <v/>
      </c>
      <c r="P346" s="75" t="str">
        <f t="shared" si="140"/>
        <v/>
      </c>
      <c r="Q346" s="75" t="str">
        <f t="shared" si="141"/>
        <v/>
      </c>
      <c r="R346" s="75" t="str">
        <f t="shared" si="142"/>
        <v/>
      </c>
      <c r="AB346" s="75" t="s">
        <v>1069</v>
      </c>
      <c r="AC346" s="75" t="s">
        <v>1070</v>
      </c>
      <c r="AD346" s="75" t="s">
        <v>5146</v>
      </c>
      <c r="AE346" s="75" t="s">
        <v>5147</v>
      </c>
      <c r="AF346" s="75" t="s">
        <v>5168</v>
      </c>
      <c r="AG346" s="75" t="s">
        <v>5178</v>
      </c>
    </row>
    <row r="347" spans="1:33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138"/>
        <v/>
      </c>
      <c r="E347" s="85"/>
      <c r="F347" s="80" t="str">
        <f t="shared" si="135"/>
        <v/>
      </c>
      <c r="G347" s="118"/>
      <c r="H347" s="80" t="str">
        <f t="shared" si="136"/>
        <v/>
      </c>
      <c r="I347" s="80" t="str">
        <f t="shared" si="137"/>
        <v/>
      </c>
      <c r="J347" s="117"/>
      <c r="K347" s="117"/>
      <c r="L347" s="117"/>
      <c r="M347" s="84"/>
      <c r="O347" s="75" t="str">
        <f t="shared" si="139"/>
        <v/>
      </c>
      <c r="P347" s="75" t="str">
        <f t="shared" si="140"/>
        <v/>
      </c>
      <c r="Q347" s="75" t="str">
        <f t="shared" si="141"/>
        <v/>
      </c>
      <c r="R347" s="75" t="str">
        <f t="shared" si="142"/>
        <v/>
      </c>
      <c r="AB347" s="75" t="s">
        <v>2010</v>
      </c>
      <c r="AC347" s="75" t="s">
        <v>2011</v>
      </c>
      <c r="AD347" s="75" t="s">
        <v>5146</v>
      </c>
      <c r="AE347" s="75" t="s">
        <v>5147</v>
      </c>
      <c r="AF347" s="75" t="s">
        <v>5168</v>
      </c>
      <c r="AG347" s="75" t="s">
        <v>5178</v>
      </c>
    </row>
    <row r="348" spans="1:33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138"/>
        <v/>
      </c>
      <c r="E348" s="85"/>
      <c r="F348" s="80" t="str">
        <f t="shared" si="135"/>
        <v/>
      </c>
      <c r="G348" s="118"/>
      <c r="H348" s="80" t="str">
        <f t="shared" si="136"/>
        <v/>
      </c>
      <c r="I348" s="80" t="str">
        <f t="shared" si="137"/>
        <v/>
      </c>
      <c r="J348" s="117"/>
      <c r="K348" s="117"/>
      <c r="L348" s="117"/>
      <c r="M348" s="84"/>
      <c r="O348" s="75" t="str">
        <f t="shared" si="139"/>
        <v/>
      </c>
      <c r="P348" s="75" t="str">
        <f t="shared" si="140"/>
        <v/>
      </c>
      <c r="Q348" s="75" t="str">
        <f t="shared" si="141"/>
        <v/>
      </c>
      <c r="R348" s="75" t="str">
        <f t="shared" si="142"/>
        <v/>
      </c>
      <c r="AB348" s="75" t="s">
        <v>2012</v>
      </c>
      <c r="AC348" s="75" t="s">
        <v>3507</v>
      </c>
      <c r="AD348" s="75" t="s">
        <v>5146</v>
      </c>
      <c r="AE348" s="75" t="s">
        <v>5147</v>
      </c>
      <c r="AF348" s="75" t="s">
        <v>5168</v>
      </c>
      <c r="AG348" s="75" t="s">
        <v>5178</v>
      </c>
    </row>
    <row r="349" spans="1:33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138"/>
        <v/>
      </c>
      <c r="E349" s="85"/>
      <c r="F349" s="80" t="str">
        <f t="shared" si="135"/>
        <v/>
      </c>
      <c r="G349" s="118"/>
      <c r="H349" s="80" t="str">
        <f t="shared" si="136"/>
        <v/>
      </c>
      <c r="I349" s="80" t="str">
        <f t="shared" si="137"/>
        <v/>
      </c>
      <c r="J349" s="117"/>
      <c r="K349" s="117"/>
      <c r="L349" s="117"/>
      <c r="M349" s="84"/>
      <c r="O349" s="75" t="str">
        <f t="shared" si="139"/>
        <v/>
      </c>
      <c r="P349" s="75" t="str">
        <f t="shared" si="140"/>
        <v/>
      </c>
      <c r="Q349" s="75" t="str">
        <f t="shared" si="141"/>
        <v/>
      </c>
      <c r="R349" s="75" t="str">
        <f t="shared" si="142"/>
        <v/>
      </c>
      <c r="AB349" s="75" t="s">
        <v>1073</v>
      </c>
      <c r="AC349" s="75" t="s">
        <v>1074</v>
      </c>
      <c r="AD349" s="75" t="s">
        <v>5146</v>
      </c>
      <c r="AE349" s="75" t="s">
        <v>5147</v>
      </c>
      <c r="AF349" s="75" t="s">
        <v>5168</v>
      </c>
      <c r="AG349" s="75" t="s">
        <v>5178</v>
      </c>
    </row>
    <row r="350" spans="1:33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138"/>
        <v/>
      </c>
      <c r="E350" s="85"/>
      <c r="F350" s="80" t="str">
        <f t="shared" si="135"/>
        <v/>
      </c>
      <c r="G350" s="118"/>
      <c r="H350" s="80" t="str">
        <f t="shared" si="136"/>
        <v/>
      </c>
      <c r="I350" s="80" t="str">
        <f t="shared" si="137"/>
        <v/>
      </c>
      <c r="J350" s="117"/>
      <c r="K350" s="117"/>
      <c r="L350" s="117"/>
      <c r="M350" s="84"/>
      <c r="O350" s="75" t="str">
        <f t="shared" si="139"/>
        <v/>
      </c>
      <c r="P350" s="75" t="str">
        <f t="shared" si="140"/>
        <v/>
      </c>
      <c r="Q350" s="75" t="str">
        <f t="shared" si="141"/>
        <v/>
      </c>
      <c r="R350" s="75" t="str">
        <f t="shared" si="142"/>
        <v/>
      </c>
      <c r="AB350" s="75" t="s">
        <v>1075</v>
      </c>
      <c r="AC350" s="75" t="s">
        <v>1076</v>
      </c>
      <c r="AD350" s="75" t="s">
        <v>5146</v>
      </c>
      <c r="AE350" s="75" t="s">
        <v>5147</v>
      </c>
      <c r="AF350" s="75" t="s">
        <v>5168</v>
      </c>
      <c r="AG350" s="75" t="s">
        <v>5178</v>
      </c>
    </row>
    <row r="351" spans="1:33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138"/>
        <v/>
      </c>
      <c r="E351" s="85"/>
      <c r="F351" s="80" t="str">
        <f t="shared" si="135"/>
        <v/>
      </c>
      <c r="G351" s="118"/>
      <c r="H351" s="80" t="str">
        <f t="shared" si="136"/>
        <v/>
      </c>
      <c r="I351" s="80" t="str">
        <f t="shared" si="137"/>
        <v/>
      </c>
      <c r="J351" s="117"/>
      <c r="K351" s="117"/>
      <c r="L351" s="117"/>
      <c r="M351" s="84"/>
      <c r="O351" s="75" t="str">
        <f t="shared" si="139"/>
        <v/>
      </c>
      <c r="P351" s="75" t="str">
        <f t="shared" si="140"/>
        <v/>
      </c>
      <c r="Q351" s="75" t="str">
        <f t="shared" si="141"/>
        <v/>
      </c>
      <c r="R351" s="75" t="str">
        <f t="shared" si="142"/>
        <v/>
      </c>
      <c r="AB351" s="75" t="s">
        <v>1077</v>
      </c>
      <c r="AC351" s="75" t="s">
        <v>1078</v>
      </c>
      <c r="AD351" s="75" t="s">
        <v>5146</v>
      </c>
      <c r="AE351" s="75" t="s">
        <v>5147</v>
      </c>
      <c r="AF351" s="75" t="s">
        <v>5168</v>
      </c>
      <c r="AG351" s="75" t="s">
        <v>5178</v>
      </c>
    </row>
    <row r="352" spans="1:33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138"/>
        <v/>
      </c>
      <c r="E352" s="85"/>
      <c r="F352" s="80" t="str">
        <f t="shared" si="135"/>
        <v/>
      </c>
      <c r="G352" s="118"/>
      <c r="H352" s="80" t="str">
        <f t="shared" si="136"/>
        <v/>
      </c>
      <c r="I352" s="80" t="str">
        <f t="shared" si="137"/>
        <v/>
      </c>
      <c r="J352" s="117"/>
      <c r="K352" s="117"/>
      <c r="L352" s="117"/>
      <c r="M352" s="84"/>
      <c r="O352" s="75" t="str">
        <f t="shared" si="139"/>
        <v/>
      </c>
      <c r="P352" s="75" t="str">
        <f t="shared" si="140"/>
        <v/>
      </c>
      <c r="Q352" s="75" t="str">
        <f t="shared" si="141"/>
        <v/>
      </c>
      <c r="R352" s="75" t="str">
        <f t="shared" si="142"/>
        <v/>
      </c>
      <c r="AB352" s="75" t="s">
        <v>1079</v>
      </c>
      <c r="AC352" s="75" t="s">
        <v>1080</v>
      </c>
      <c r="AD352" s="75" t="s">
        <v>5146</v>
      </c>
      <c r="AE352" s="75" t="s">
        <v>5147</v>
      </c>
      <c r="AF352" s="75" t="s">
        <v>5168</v>
      </c>
      <c r="AG352" s="75" t="s">
        <v>5178</v>
      </c>
    </row>
    <row r="353" spans="1:33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138"/>
        <v/>
      </c>
      <c r="E353" s="85"/>
      <c r="F353" s="80" t="str">
        <f t="shared" si="135"/>
        <v/>
      </c>
      <c r="G353" s="118"/>
      <c r="H353" s="80" t="str">
        <f t="shared" si="136"/>
        <v/>
      </c>
      <c r="I353" s="80" t="str">
        <f t="shared" si="137"/>
        <v/>
      </c>
      <c r="J353" s="117"/>
      <c r="K353" s="117"/>
      <c r="L353" s="117"/>
      <c r="M353" s="84"/>
      <c r="O353" s="75" t="str">
        <f t="shared" si="139"/>
        <v/>
      </c>
      <c r="P353" s="75" t="str">
        <f t="shared" si="140"/>
        <v/>
      </c>
      <c r="Q353" s="75" t="str">
        <f t="shared" si="141"/>
        <v/>
      </c>
      <c r="R353" s="75" t="str">
        <f t="shared" si="142"/>
        <v/>
      </c>
      <c r="AB353" s="75" t="s">
        <v>1081</v>
      </c>
      <c r="AC353" s="75" t="s">
        <v>1082</v>
      </c>
      <c r="AD353" s="75" t="s">
        <v>5146</v>
      </c>
      <c r="AE353" s="75" t="s">
        <v>5147</v>
      </c>
      <c r="AF353" s="75" t="s">
        <v>5168</v>
      </c>
      <c r="AG353" s="75" t="s">
        <v>5178</v>
      </c>
    </row>
    <row r="354" spans="1:33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138"/>
        <v/>
      </c>
      <c r="E354" s="85"/>
      <c r="F354" s="80" t="str">
        <f t="shared" si="135"/>
        <v/>
      </c>
      <c r="G354" s="118"/>
      <c r="H354" s="80" t="str">
        <f t="shared" si="136"/>
        <v/>
      </c>
      <c r="I354" s="80" t="str">
        <f t="shared" si="137"/>
        <v/>
      </c>
      <c r="J354" s="117"/>
      <c r="K354" s="117"/>
      <c r="L354" s="117"/>
      <c r="M354" s="84"/>
      <c r="O354" s="75" t="str">
        <f t="shared" si="139"/>
        <v/>
      </c>
      <c r="P354" s="75" t="str">
        <f t="shared" si="140"/>
        <v/>
      </c>
      <c r="Q354" s="75" t="str">
        <f t="shared" si="141"/>
        <v/>
      </c>
      <c r="R354" s="75" t="str">
        <f t="shared" si="142"/>
        <v/>
      </c>
      <c r="AB354" s="75" t="s">
        <v>1083</v>
      </c>
      <c r="AC354" s="75" t="s">
        <v>1084</v>
      </c>
      <c r="AD354" s="75" t="s">
        <v>5146</v>
      </c>
      <c r="AE354" s="75" t="s">
        <v>5147</v>
      </c>
      <c r="AF354" s="75" t="s">
        <v>5168</v>
      </c>
      <c r="AG354" s="75" t="s">
        <v>5178</v>
      </c>
    </row>
    <row r="355" spans="1:33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138"/>
        <v/>
      </c>
      <c r="E355" s="85"/>
      <c r="F355" s="80" t="str">
        <f t="shared" si="135"/>
        <v/>
      </c>
      <c r="G355" s="118"/>
      <c r="H355" s="80" t="str">
        <f t="shared" si="136"/>
        <v/>
      </c>
      <c r="I355" s="80" t="str">
        <f t="shared" si="137"/>
        <v/>
      </c>
      <c r="J355" s="117"/>
      <c r="K355" s="117"/>
      <c r="L355" s="117"/>
      <c r="M355" s="84"/>
      <c r="O355" s="75" t="str">
        <f t="shared" si="139"/>
        <v/>
      </c>
      <c r="P355" s="75" t="str">
        <f t="shared" si="140"/>
        <v/>
      </c>
      <c r="Q355" s="75" t="str">
        <f t="shared" si="141"/>
        <v/>
      </c>
      <c r="R355" s="75" t="str">
        <f t="shared" si="142"/>
        <v/>
      </c>
      <c r="AB355" s="75" t="s">
        <v>1085</v>
      </c>
      <c r="AC355" s="75" t="s">
        <v>1086</v>
      </c>
      <c r="AD355" s="75" t="s">
        <v>5146</v>
      </c>
      <c r="AE355" s="75" t="s">
        <v>5147</v>
      </c>
      <c r="AF355" s="75" t="s">
        <v>5168</v>
      </c>
      <c r="AG355" s="75" t="s">
        <v>5178</v>
      </c>
    </row>
    <row r="356" spans="1:33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138"/>
        <v/>
      </c>
      <c r="E356" s="85"/>
      <c r="F356" s="80" t="str">
        <f t="shared" si="135"/>
        <v/>
      </c>
      <c r="G356" s="118"/>
      <c r="H356" s="80" t="str">
        <f t="shared" si="136"/>
        <v/>
      </c>
      <c r="I356" s="80" t="str">
        <f t="shared" si="137"/>
        <v/>
      </c>
      <c r="J356" s="117"/>
      <c r="K356" s="117"/>
      <c r="L356" s="117"/>
      <c r="M356" s="84"/>
      <c r="O356" s="75" t="str">
        <f t="shared" si="139"/>
        <v/>
      </c>
      <c r="P356" s="75" t="str">
        <f t="shared" si="140"/>
        <v/>
      </c>
      <c r="Q356" s="75" t="str">
        <f t="shared" si="141"/>
        <v/>
      </c>
      <c r="R356" s="75" t="str">
        <f t="shared" si="142"/>
        <v/>
      </c>
      <c r="AB356" s="75" t="s">
        <v>1087</v>
      </c>
      <c r="AC356" s="75" t="s">
        <v>1088</v>
      </c>
      <c r="AD356" s="75" t="s">
        <v>5146</v>
      </c>
      <c r="AE356" s="75" t="s">
        <v>5147</v>
      </c>
      <c r="AF356" s="75" t="s">
        <v>5168</v>
      </c>
      <c r="AG356" s="75" t="s">
        <v>5178</v>
      </c>
    </row>
    <row r="357" spans="1:33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138"/>
        <v/>
      </c>
      <c r="E357" s="85"/>
      <c r="F357" s="80" t="str">
        <f t="shared" si="135"/>
        <v/>
      </c>
      <c r="G357" s="118"/>
      <c r="H357" s="80" t="str">
        <f t="shared" si="136"/>
        <v/>
      </c>
      <c r="I357" s="80" t="str">
        <f t="shared" si="137"/>
        <v/>
      </c>
      <c r="J357" s="117"/>
      <c r="K357" s="117"/>
      <c r="L357" s="117"/>
      <c r="M357" s="84"/>
      <c r="O357" s="75" t="str">
        <f t="shared" si="139"/>
        <v/>
      </c>
      <c r="P357" s="75" t="str">
        <f t="shared" si="140"/>
        <v/>
      </c>
      <c r="Q357" s="75" t="str">
        <f t="shared" si="141"/>
        <v/>
      </c>
      <c r="R357" s="75" t="str">
        <f t="shared" si="142"/>
        <v/>
      </c>
      <c r="AB357" s="75" t="s">
        <v>1089</v>
      </c>
      <c r="AC357" s="75" t="s">
        <v>1090</v>
      </c>
      <c r="AD357" s="75" t="s">
        <v>5146</v>
      </c>
      <c r="AE357" s="75" t="s">
        <v>5147</v>
      </c>
      <c r="AF357" s="75" t="s">
        <v>5168</v>
      </c>
      <c r="AG357" s="75" t="s">
        <v>5178</v>
      </c>
    </row>
    <row r="358" spans="1:33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138"/>
        <v/>
      </c>
      <c r="E358" s="85"/>
      <c r="F358" s="80" t="str">
        <f t="shared" si="135"/>
        <v/>
      </c>
      <c r="G358" s="118"/>
      <c r="H358" s="80" t="str">
        <f t="shared" si="136"/>
        <v/>
      </c>
      <c r="I358" s="80" t="str">
        <f t="shared" si="137"/>
        <v/>
      </c>
      <c r="J358" s="117"/>
      <c r="K358" s="117"/>
      <c r="L358" s="117"/>
      <c r="M358" s="84"/>
      <c r="O358" s="75" t="str">
        <f t="shared" si="139"/>
        <v/>
      </c>
      <c r="P358" s="75" t="str">
        <f t="shared" si="140"/>
        <v/>
      </c>
      <c r="Q358" s="75" t="str">
        <f t="shared" si="141"/>
        <v/>
      </c>
      <c r="R358" s="75" t="str">
        <f t="shared" si="142"/>
        <v/>
      </c>
      <c r="AB358" s="75" t="s">
        <v>1091</v>
      </c>
      <c r="AC358" s="75" t="s">
        <v>3508</v>
      </c>
      <c r="AD358" s="75" t="s">
        <v>5146</v>
      </c>
      <c r="AE358" s="75" t="s">
        <v>5147</v>
      </c>
      <c r="AF358" s="75" t="s">
        <v>5168</v>
      </c>
      <c r="AG358" s="75" t="s">
        <v>5178</v>
      </c>
    </row>
    <row r="359" spans="1:33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138"/>
        <v/>
      </c>
      <c r="E359" s="85"/>
      <c r="F359" s="80" t="str">
        <f t="shared" si="135"/>
        <v/>
      </c>
      <c r="G359" s="118"/>
      <c r="H359" s="80" t="str">
        <f t="shared" si="136"/>
        <v/>
      </c>
      <c r="I359" s="80" t="str">
        <f t="shared" si="137"/>
        <v/>
      </c>
      <c r="J359" s="117"/>
      <c r="K359" s="117"/>
      <c r="L359" s="117"/>
      <c r="M359" s="84"/>
      <c r="O359" s="75" t="str">
        <f t="shared" si="139"/>
        <v/>
      </c>
      <c r="P359" s="75" t="str">
        <f t="shared" si="140"/>
        <v/>
      </c>
      <c r="Q359" s="75" t="str">
        <f t="shared" si="141"/>
        <v/>
      </c>
      <c r="R359" s="75" t="str">
        <f t="shared" si="142"/>
        <v/>
      </c>
      <c r="AB359" s="75" t="s">
        <v>1092</v>
      </c>
      <c r="AC359" s="75" t="s">
        <v>1666</v>
      </c>
      <c r="AD359" s="75" t="s">
        <v>5146</v>
      </c>
      <c r="AE359" s="75" t="s">
        <v>5147</v>
      </c>
      <c r="AF359" s="75" t="s">
        <v>5168</v>
      </c>
      <c r="AG359" s="75" t="s">
        <v>5178</v>
      </c>
    </row>
    <row r="360" spans="1:33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138"/>
        <v/>
      </c>
      <c r="E360" s="85"/>
      <c r="F360" s="80" t="str">
        <f t="shared" si="135"/>
        <v/>
      </c>
      <c r="G360" s="118"/>
      <c r="H360" s="80" t="str">
        <f t="shared" si="136"/>
        <v/>
      </c>
      <c r="I360" s="80" t="str">
        <f t="shared" si="137"/>
        <v/>
      </c>
      <c r="J360" s="117"/>
      <c r="K360" s="117"/>
      <c r="L360" s="117"/>
      <c r="M360" s="84"/>
      <c r="O360" s="75" t="str">
        <f t="shared" si="139"/>
        <v/>
      </c>
      <c r="P360" s="75" t="str">
        <f t="shared" si="140"/>
        <v/>
      </c>
      <c r="Q360" s="75" t="str">
        <f t="shared" si="141"/>
        <v/>
      </c>
      <c r="R360" s="75" t="str">
        <f t="shared" si="142"/>
        <v/>
      </c>
      <c r="AB360" s="75" t="s">
        <v>1093</v>
      </c>
      <c r="AC360" s="75" t="s">
        <v>1667</v>
      </c>
      <c r="AD360" s="75" t="s">
        <v>5146</v>
      </c>
      <c r="AE360" s="75" t="s">
        <v>5147</v>
      </c>
      <c r="AF360" s="75" t="s">
        <v>5168</v>
      </c>
      <c r="AG360" s="75" t="s">
        <v>5178</v>
      </c>
    </row>
    <row r="361" spans="1:33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138"/>
        <v/>
      </c>
      <c r="E361" s="85"/>
      <c r="F361" s="80" t="str">
        <f t="shared" si="135"/>
        <v/>
      </c>
      <c r="G361" s="118"/>
      <c r="H361" s="80" t="str">
        <f t="shared" si="136"/>
        <v/>
      </c>
      <c r="I361" s="80" t="str">
        <f t="shared" si="137"/>
        <v/>
      </c>
      <c r="J361" s="117"/>
      <c r="K361" s="117"/>
      <c r="L361" s="117"/>
      <c r="M361" s="84"/>
      <c r="O361" s="75" t="str">
        <f t="shared" si="139"/>
        <v/>
      </c>
      <c r="P361" s="75" t="str">
        <f t="shared" si="140"/>
        <v/>
      </c>
      <c r="Q361" s="75" t="str">
        <f t="shared" si="141"/>
        <v/>
      </c>
      <c r="R361" s="75" t="str">
        <f t="shared" si="142"/>
        <v/>
      </c>
      <c r="AB361" s="75" t="s">
        <v>1094</v>
      </c>
      <c r="AC361" s="75" t="s">
        <v>1668</v>
      </c>
      <c r="AD361" s="75" t="s">
        <v>5146</v>
      </c>
      <c r="AE361" s="75" t="s">
        <v>5147</v>
      </c>
      <c r="AF361" s="75" t="s">
        <v>5168</v>
      </c>
      <c r="AG361" s="75" t="s">
        <v>5178</v>
      </c>
    </row>
    <row r="362" spans="1:33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138"/>
        <v/>
      </c>
      <c r="E362" s="85"/>
      <c r="F362" s="80" t="str">
        <f t="shared" si="135"/>
        <v/>
      </c>
      <c r="G362" s="118"/>
      <c r="H362" s="80" t="str">
        <f t="shared" si="136"/>
        <v/>
      </c>
      <c r="I362" s="80" t="str">
        <f t="shared" si="137"/>
        <v/>
      </c>
      <c r="J362" s="117"/>
      <c r="K362" s="117"/>
      <c r="L362" s="117"/>
      <c r="M362" s="84"/>
      <c r="O362" s="75" t="str">
        <f t="shared" si="139"/>
        <v/>
      </c>
      <c r="P362" s="75" t="str">
        <f t="shared" si="140"/>
        <v/>
      </c>
      <c r="Q362" s="75" t="str">
        <f t="shared" si="141"/>
        <v/>
      </c>
      <c r="R362" s="75" t="str">
        <f t="shared" si="142"/>
        <v/>
      </c>
      <c r="AB362" s="75" t="s">
        <v>1095</v>
      </c>
      <c r="AC362" s="75" t="s">
        <v>1096</v>
      </c>
      <c r="AD362" s="75" t="s">
        <v>5146</v>
      </c>
      <c r="AE362" s="75" t="s">
        <v>5147</v>
      </c>
      <c r="AF362" s="75" t="s">
        <v>5168</v>
      </c>
      <c r="AG362" s="75" t="s">
        <v>5178</v>
      </c>
    </row>
    <row r="363" spans="1:33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138"/>
        <v/>
      </c>
      <c r="E363" s="85"/>
      <c r="F363" s="80" t="str">
        <f t="shared" si="135"/>
        <v/>
      </c>
      <c r="G363" s="118"/>
      <c r="H363" s="80" t="str">
        <f t="shared" si="136"/>
        <v/>
      </c>
      <c r="I363" s="80" t="str">
        <f t="shared" si="137"/>
        <v/>
      </c>
      <c r="J363" s="117"/>
      <c r="K363" s="117"/>
      <c r="L363" s="117"/>
      <c r="M363" s="84"/>
      <c r="O363" s="75" t="str">
        <f t="shared" si="139"/>
        <v/>
      </c>
      <c r="P363" s="75" t="str">
        <f t="shared" si="140"/>
        <v/>
      </c>
      <c r="Q363" s="75" t="str">
        <f t="shared" si="141"/>
        <v/>
      </c>
      <c r="R363" s="75" t="str">
        <f t="shared" si="142"/>
        <v/>
      </c>
      <c r="AB363" s="75" t="s">
        <v>1097</v>
      </c>
      <c r="AC363" s="75" t="s">
        <v>1669</v>
      </c>
      <c r="AD363" s="75" t="s">
        <v>5146</v>
      </c>
      <c r="AE363" s="75" t="s">
        <v>5147</v>
      </c>
      <c r="AF363" s="75" t="s">
        <v>5168</v>
      </c>
      <c r="AG363" s="75" t="s">
        <v>5178</v>
      </c>
    </row>
    <row r="364" spans="1:33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138"/>
        <v/>
      </c>
      <c r="E364" s="85"/>
      <c r="F364" s="80" t="str">
        <f t="shared" si="135"/>
        <v/>
      </c>
      <c r="G364" s="118"/>
      <c r="H364" s="80" t="str">
        <f t="shared" si="136"/>
        <v/>
      </c>
      <c r="I364" s="80" t="str">
        <f t="shared" si="137"/>
        <v/>
      </c>
      <c r="J364" s="117"/>
      <c r="K364" s="117"/>
      <c r="L364" s="117"/>
      <c r="M364" s="84"/>
      <c r="O364" s="75" t="str">
        <f t="shared" si="139"/>
        <v/>
      </c>
      <c r="P364" s="75" t="str">
        <f t="shared" si="140"/>
        <v/>
      </c>
      <c r="Q364" s="75" t="str">
        <f t="shared" si="141"/>
        <v/>
      </c>
      <c r="R364" s="75" t="str">
        <f t="shared" si="142"/>
        <v/>
      </c>
      <c r="AB364" s="75" t="s">
        <v>1098</v>
      </c>
      <c r="AC364" s="75" t="s">
        <v>1670</v>
      </c>
      <c r="AD364" s="75" t="s">
        <v>5146</v>
      </c>
      <c r="AE364" s="75" t="s">
        <v>5147</v>
      </c>
      <c r="AF364" s="75" t="s">
        <v>5168</v>
      </c>
      <c r="AG364" s="75" t="s">
        <v>5178</v>
      </c>
    </row>
    <row r="365" spans="1:33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138"/>
        <v/>
      </c>
      <c r="E365" s="85"/>
      <c r="F365" s="80" t="str">
        <f t="shared" si="135"/>
        <v/>
      </c>
      <c r="G365" s="118"/>
      <c r="H365" s="80" t="str">
        <f t="shared" si="136"/>
        <v/>
      </c>
      <c r="I365" s="80" t="str">
        <f t="shared" si="137"/>
        <v/>
      </c>
      <c r="J365" s="117"/>
      <c r="K365" s="117"/>
      <c r="L365" s="117"/>
      <c r="M365" s="84"/>
      <c r="O365" s="75" t="str">
        <f t="shared" si="139"/>
        <v/>
      </c>
      <c r="P365" s="75" t="str">
        <f t="shared" si="140"/>
        <v/>
      </c>
      <c r="Q365" s="75" t="str">
        <f t="shared" si="141"/>
        <v/>
      </c>
      <c r="R365" s="75" t="str">
        <f t="shared" si="142"/>
        <v/>
      </c>
      <c r="AB365" s="75" t="s">
        <v>1099</v>
      </c>
      <c r="AC365" s="75" t="s">
        <v>1100</v>
      </c>
      <c r="AD365" s="75" t="s">
        <v>5146</v>
      </c>
      <c r="AE365" s="75" t="s">
        <v>5147</v>
      </c>
      <c r="AF365" s="75" t="s">
        <v>5168</v>
      </c>
      <c r="AG365" s="75" t="s">
        <v>5178</v>
      </c>
    </row>
    <row r="366" spans="1:33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138"/>
        <v/>
      </c>
      <c r="E366" s="85"/>
      <c r="F366" s="80" t="str">
        <f t="shared" si="135"/>
        <v/>
      </c>
      <c r="G366" s="118"/>
      <c r="H366" s="80" t="str">
        <f t="shared" si="136"/>
        <v/>
      </c>
      <c r="I366" s="80" t="str">
        <f t="shared" si="137"/>
        <v/>
      </c>
      <c r="J366" s="117"/>
      <c r="K366" s="117"/>
      <c r="L366" s="117"/>
      <c r="M366" s="84"/>
      <c r="O366" s="75" t="str">
        <f t="shared" si="139"/>
        <v/>
      </c>
      <c r="P366" s="75" t="str">
        <f t="shared" si="140"/>
        <v/>
      </c>
      <c r="Q366" s="75" t="str">
        <f t="shared" si="141"/>
        <v/>
      </c>
      <c r="R366" s="75" t="str">
        <f t="shared" si="142"/>
        <v/>
      </c>
      <c r="AB366" s="75" t="s">
        <v>1101</v>
      </c>
      <c r="AC366" s="75" t="s">
        <v>1102</v>
      </c>
      <c r="AD366" s="75" t="s">
        <v>5146</v>
      </c>
      <c r="AE366" s="75" t="s">
        <v>5147</v>
      </c>
      <c r="AF366" s="75" t="s">
        <v>5168</v>
      </c>
      <c r="AG366" s="75" t="s">
        <v>5178</v>
      </c>
    </row>
    <row r="367" spans="1:33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138"/>
        <v/>
      </c>
      <c r="E367" s="85"/>
      <c r="F367" s="80" t="str">
        <f t="shared" si="135"/>
        <v/>
      </c>
      <c r="G367" s="118"/>
      <c r="H367" s="80" t="str">
        <f t="shared" si="136"/>
        <v/>
      </c>
      <c r="I367" s="80" t="str">
        <f t="shared" si="137"/>
        <v/>
      </c>
      <c r="J367" s="117"/>
      <c r="K367" s="117"/>
      <c r="L367" s="117"/>
      <c r="M367" s="84"/>
      <c r="O367" s="75" t="str">
        <f t="shared" si="139"/>
        <v/>
      </c>
      <c r="P367" s="75" t="str">
        <f t="shared" si="140"/>
        <v/>
      </c>
      <c r="Q367" s="75" t="str">
        <f t="shared" si="141"/>
        <v/>
      </c>
      <c r="R367" s="75" t="str">
        <f t="shared" si="142"/>
        <v/>
      </c>
      <c r="AB367" s="75" t="s">
        <v>1958</v>
      </c>
      <c r="AC367" s="75" t="s">
        <v>1959</v>
      </c>
      <c r="AD367" s="75" t="s">
        <v>5146</v>
      </c>
      <c r="AE367" s="75" t="s">
        <v>5147</v>
      </c>
      <c r="AF367" s="75" t="s">
        <v>5168</v>
      </c>
      <c r="AG367" s="75" t="s">
        <v>5178</v>
      </c>
    </row>
    <row r="368" spans="1:33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138"/>
        <v/>
      </c>
      <c r="E368" s="85"/>
      <c r="F368" s="80" t="str">
        <f t="shared" si="135"/>
        <v/>
      </c>
      <c r="G368" s="118"/>
      <c r="H368" s="80" t="str">
        <f t="shared" si="136"/>
        <v/>
      </c>
      <c r="I368" s="80" t="str">
        <f t="shared" si="137"/>
        <v/>
      </c>
      <c r="J368" s="117"/>
      <c r="K368" s="117"/>
      <c r="L368" s="117"/>
      <c r="M368" s="84"/>
      <c r="O368" s="75" t="str">
        <f t="shared" si="139"/>
        <v/>
      </c>
      <c r="P368" s="75" t="str">
        <f t="shared" si="140"/>
        <v/>
      </c>
      <c r="Q368" s="75" t="str">
        <f t="shared" si="141"/>
        <v/>
      </c>
      <c r="R368" s="75" t="str">
        <f t="shared" si="142"/>
        <v/>
      </c>
      <c r="AB368" s="75" t="s">
        <v>1960</v>
      </c>
      <c r="AC368" s="75" t="s">
        <v>1961</v>
      </c>
      <c r="AD368" s="75" t="s">
        <v>5146</v>
      </c>
      <c r="AE368" s="75" t="s">
        <v>5147</v>
      </c>
      <c r="AF368" s="75" t="s">
        <v>5168</v>
      </c>
      <c r="AG368" s="75" t="s">
        <v>5178</v>
      </c>
    </row>
    <row r="369" spans="1:33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138"/>
        <v/>
      </c>
      <c r="E369" s="85"/>
      <c r="F369" s="80" t="str">
        <f t="shared" si="135"/>
        <v/>
      </c>
      <c r="G369" s="118"/>
      <c r="H369" s="80" t="str">
        <f t="shared" si="136"/>
        <v/>
      </c>
      <c r="I369" s="80" t="str">
        <f t="shared" si="137"/>
        <v/>
      </c>
      <c r="J369" s="117"/>
      <c r="K369" s="117"/>
      <c r="L369" s="117"/>
      <c r="M369" s="84"/>
      <c r="O369" s="75" t="str">
        <f t="shared" si="139"/>
        <v/>
      </c>
      <c r="P369" s="75" t="str">
        <f t="shared" si="140"/>
        <v/>
      </c>
      <c r="Q369" s="75" t="str">
        <f t="shared" si="141"/>
        <v/>
      </c>
      <c r="R369" s="75" t="str">
        <f t="shared" si="142"/>
        <v/>
      </c>
      <c r="AB369" s="75" t="s">
        <v>1962</v>
      </c>
      <c r="AC369" s="75" t="s">
        <v>1963</v>
      </c>
      <c r="AD369" s="75" t="s">
        <v>5146</v>
      </c>
      <c r="AE369" s="75" t="s">
        <v>5147</v>
      </c>
      <c r="AF369" s="75" t="s">
        <v>5168</v>
      </c>
      <c r="AG369" s="75" t="s">
        <v>5178</v>
      </c>
    </row>
    <row r="370" spans="1:33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138"/>
        <v/>
      </c>
      <c r="E370" s="85"/>
      <c r="F370" s="80" t="str">
        <f t="shared" si="135"/>
        <v/>
      </c>
      <c r="G370" s="118"/>
      <c r="H370" s="80" t="str">
        <f t="shared" si="136"/>
        <v/>
      </c>
      <c r="I370" s="80" t="str">
        <f t="shared" si="137"/>
        <v/>
      </c>
      <c r="J370" s="117"/>
      <c r="K370" s="117"/>
      <c r="L370" s="117"/>
      <c r="M370" s="84"/>
      <c r="O370" s="75" t="str">
        <f t="shared" si="139"/>
        <v/>
      </c>
      <c r="P370" s="75" t="str">
        <f t="shared" si="140"/>
        <v/>
      </c>
      <c r="Q370" s="75" t="str">
        <f t="shared" si="141"/>
        <v/>
      </c>
      <c r="R370" s="75" t="str">
        <f t="shared" si="142"/>
        <v/>
      </c>
      <c r="AB370" s="75" t="s">
        <v>3509</v>
      </c>
      <c r="AC370" s="75" t="s">
        <v>3510</v>
      </c>
      <c r="AD370" s="75" t="s">
        <v>5146</v>
      </c>
      <c r="AE370" s="75" t="s">
        <v>5147</v>
      </c>
      <c r="AF370" s="75" t="s">
        <v>5168</v>
      </c>
      <c r="AG370" s="75" t="s">
        <v>5178</v>
      </c>
    </row>
    <row r="371" spans="1:33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138"/>
        <v/>
      </c>
      <c r="E371" s="85"/>
      <c r="F371" s="80" t="str">
        <f t="shared" si="135"/>
        <v/>
      </c>
      <c r="G371" s="118"/>
      <c r="H371" s="80" t="str">
        <f t="shared" si="136"/>
        <v/>
      </c>
      <c r="I371" s="80" t="str">
        <f t="shared" si="137"/>
        <v/>
      </c>
      <c r="J371" s="117"/>
      <c r="K371" s="117"/>
      <c r="L371" s="117"/>
      <c r="M371" s="84"/>
      <c r="O371" s="75" t="str">
        <f t="shared" si="139"/>
        <v/>
      </c>
      <c r="P371" s="75" t="str">
        <f t="shared" si="140"/>
        <v/>
      </c>
      <c r="Q371" s="75" t="str">
        <f t="shared" si="141"/>
        <v/>
      </c>
      <c r="R371" s="75" t="str">
        <f t="shared" si="142"/>
        <v/>
      </c>
      <c r="AB371" s="75" t="s">
        <v>3511</v>
      </c>
      <c r="AC371" s="75" t="s">
        <v>3512</v>
      </c>
      <c r="AD371" s="75" t="s">
        <v>5146</v>
      </c>
      <c r="AE371" s="75" t="s">
        <v>5147</v>
      </c>
      <c r="AF371" s="75" t="s">
        <v>5168</v>
      </c>
      <c r="AG371" s="75" t="s">
        <v>5178</v>
      </c>
    </row>
    <row r="372" spans="1:33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138"/>
        <v/>
      </c>
      <c r="E372" s="85"/>
      <c r="F372" s="80" t="str">
        <f t="shared" si="135"/>
        <v/>
      </c>
      <c r="G372" s="118"/>
      <c r="H372" s="80" t="str">
        <f t="shared" si="136"/>
        <v/>
      </c>
      <c r="I372" s="80" t="str">
        <f t="shared" si="137"/>
        <v/>
      </c>
      <c r="J372" s="117"/>
      <c r="K372" s="117"/>
      <c r="L372" s="117"/>
      <c r="M372" s="84"/>
      <c r="O372" s="75" t="str">
        <f t="shared" si="139"/>
        <v/>
      </c>
      <c r="P372" s="75" t="str">
        <f t="shared" si="140"/>
        <v/>
      </c>
      <c r="Q372" s="75" t="str">
        <f t="shared" si="141"/>
        <v/>
      </c>
      <c r="R372" s="75" t="str">
        <f t="shared" si="142"/>
        <v/>
      </c>
      <c r="AB372" s="75" t="s">
        <v>1105</v>
      </c>
      <c r="AC372" s="75" t="s">
        <v>1106</v>
      </c>
      <c r="AD372" s="75" t="s">
        <v>5162</v>
      </c>
      <c r="AE372" s="75" t="s">
        <v>5163</v>
      </c>
      <c r="AF372" s="75" t="s">
        <v>5168</v>
      </c>
      <c r="AG372" s="75" t="s">
        <v>5180</v>
      </c>
    </row>
    <row r="373" spans="1:33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138"/>
        <v/>
      </c>
      <c r="E373" s="85"/>
      <c r="F373" s="80" t="str">
        <f t="shared" si="135"/>
        <v/>
      </c>
      <c r="G373" s="118"/>
      <c r="H373" s="80" t="str">
        <f t="shared" si="136"/>
        <v/>
      </c>
      <c r="I373" s="80" t="str">
        <f t="shared" si="137"/>
        <v/>
      </c>
      <c r="J373" s="117"/>
      <c r="K373" s="117"/>
      <c r="L373" s="117"/>
      <c r="M373" s="84"/>
      <c r="O373" s="75" t="str">
        <f t="shared" si="139"/>
        <v/>
      </c>
      <c r="P373" s="75" t="str">
        <f t="shared" si="140"/>
        <v/>
      </c>
      <c r="Q373" s="75" t="str">
        <f t="shared" si="141"/>
        <v/>
      </c>
      <c r="R373" s="75" t="str">
        <f t="shared" si="142"/>
        <v/>
      </c>
      <c r="AB373" s="75" t="s">
        <v>1105</v>
      </c>
      <c r="AC373" s="75" t="s">
        <v>1106</v>
      </c>
      <c r="AD373" s="75" t="s">
        <v>5146</v>
      </c>
      <c r="AE373" s="75" t="s">
        <v>5147</v>
      </c>
      <c r="AF373" s="75" t="s">
        <v>5168</v>
      </c>
      <c r="AG373" s="75" t="s">
        <v>5178</v>
      </c>
    </row>
    <row r="374" spans="1:33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138"/>
        <v/>
      </c>
      <c r="E374" s="85"/>
      <c r="F374" s="80" t="str">
        <f t="shared" si="135"/>
        <v/>
      </c>
      <c r="G374" s="118"/>
      <c r="H374" s="80" t="str">
        <f t="shared" si="136"/>
        <v/>
      </c>
      <c r="I374" s="80" t="str">
        <f t="shared" si="137"/>
        <v/>
      </c>
      <c r="J374" s="117"/>
      <c r="K374" s="117"/>
      <c r="L374" s="117"/>
      <c r="M374" s="84"/>
      <c r="O374" s="75" t="str">
        <f t="shared" si="139"/>
        <v/>
      </c>
      <c r="P374" s="75" t="str">
        <f t="shared" si="140"/>
        <v/>
      </c>
      <c r="Q374" s="75" t="str">
        <f t="shared" si="141"/>
        <v/>
      </c>
      <c r="R374" s="75" t="str">
        <f t="shared" si="142"/>
        <v/>
      </c>
      <c r="AB374" s="75" t="s">
        <v>1107</v>
      </c>
      <c r="AC374" s="75" t="s">
        <v>1108</v>
      </c>
      <c r="AD374" s="75" t="s">
        <v>5146</v>
      </c>
      <c r="AE374" s="75" t="s">
        <v>5147</v>
      </c>
      <c r="AF374" s="75" t="s">
        <v>5168</v>
      </c>
      <c r="AG374" s="75" t="s">
        <v>5178</v>
      </c>
    </row>
    <row r="375" spans="1:33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138"/>
        <v/>
      </c>
      <c r="E375" s="85"/>
      <c r="F375" s="80" t="str">
        <f t="shared" si="135"/>
        <v/>
      </c>
      <c r="G375" s="118"/>
      <c r="H375" s="80" t="str">
        <f t="shared" si="136"/>
        <v/>
      </c>
      <c r="I375" s="80" t="str">
        <f t="shared" si="137"/>
        <v/>
      </c>
      <c r="J375" s="117"/>
      <c r="K375" s="117"/>
      <c r="L375" s="117"/>
      <c r="M375" s="84"/>
      <c r="O375" s="75" t="str">
        <f t="shared" si="139"/>
        <v/>
      </c>
      <c r="P375" s="75" t="str">
        <f t="shared" si="140"/>
        <v/>
      </c>
      <c r="Q375" s="75" t="str">
        <f t="shared" si="141"/>
        <v/>
      </c>
      <c r="R375" s="75" t="str">
        <f t="shared" si="142"/>
        <v/>
      </c>
      <c r="AB375" s="75" t="s">
        <v>1109</v>
      </c>
      <c r="AC375" s="75" t="s">
        <v>1110</v>
      </c>
      <c r="AD375" s="75" t="s">
        <v>5146</v>
      </c>
      <c r="AE375" s="75" t="s">
        <v>5147</v>
      </c>
      <c r="AF375" s="75" t="s">
        <v>5168</v>
      </c>
      <c r="AG375" s="75" t="s">
        <v>5178</v>
      </c>
    </row>
    <row r="376" spans="1:33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138"/>
        <v/>
      </c>
      <c r="E376" s="85"/>
      <c r="F376" s="80" t="str">
        <f t="shared" si="135"/>
        <v/>
      </c>
      <c r="G376" s="118"/>
      <c r="H376" s="80" t="str">
        <f t="shared" si="136"/>
        <v/>
      </c>
      <c r="I376" s="80" t="str">
        <f t="shared" si="137"/>
        <v/>
      </c>
      <c r="J376" s="117"/>
      <c r="K376" s="117"/>
      <c r="L376" s="117"/>
      <c r="M376" s="84"/>
      <c r="O376" s="75" t="str">
        <f t="shared" si="139"/>
        <v/>
      </c>
      <c r="P376" s="75" t="str">
        <f t="shared" si="140"/>
        <v/>
      </c>
      <c r="Q376" s="75" t="str">
        <f t="shared" si="141"/>
        <v/>
      </c>
      <c r="R376" s="75" t="str">
        <f t="shared" si="142"/>
        <v/>
      </c>
      <c r="AB376" s="75" t="s">
        <v>1111</v>
      </c>
      <c r="AC376" s="75" t="s">
        <v>1112</v>
      </c>
      <c r="AD376" s="75" t="s">
        <v>5146</v>
      </c>
      <c r="AE376" s="75" t="s">
        <v>5147</v>
      </c>
      <c r="AF376" s="75" t="s">
        <v>5168</v>
      </c>
      <c r="AG376" s="75" t="s">
        <v>5178</v>
      </c>
    </row>
    <row r="377" spans="1:33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138"/>
        <v/>
      </c>
      <c r="E377" s="85"/>
      <c r="F377" s="80" t="str">
        <f t="shared" si="135"/>
        <v/>
      </c>
      <c r="G377" s="118"/>
      <c r="H377" s="80" t="str">
        <f t="shared" si="136"/>
        <v/>
      </c>
      <c r="I377" s="80" t="str">
        <f t="shared" si="137"/>
        <v/>
      </c>
      <c r="J377" s="117"/>
      <c r="K377" s="117"/>
      <c r="L377" s="117"/>
      <c r="M377" s="84"/>
      <c r="O377" s="75" t="str">
        <f t="shared" si="139"/>
        <v/>
      </c>
      <c r="P377" s="75" t="str">
        <f t="shared" si="140"/>
        <v/>
      </c>
      <c r="Q377" s="75" t="str">
        <f t="shared" si="141"/>
        <v/>
      </c>
      <c r="R377" s="75" t="str">
        <f t="shared" si="142"/>
        <v/>
      </c>
      <c r="AB377" s="75" t="s">
        <v>1113</v>
      </c>
      <c r="AC377" s="75" t="s">
        <v>1114</v>
      </c>
      <c r="AD377" s="75" t="s">
        <v>5146</v>
      </c>
      <c r="AE377" s="75" t="s">
        <v>5147</v>
      </c>
      <c r="AF377" s="75" t="s">
        <v>5168</v>
      </c>
      <c r="AG377" s="75" t="s">
        <v>5178</v>
      </c>
    </row>
    <row r="378" spans="1:33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138"/>
        <v/>
      </c>
      <c r="E378" s="85"/>
      <c r="F378" s="80" t="str">
        <f t="shared" si="135"/>
        <v/>
      </c>
      <c r="G378" s="118"/>
      <c r="H378" s="80" t="str">
        <f t="shared" si="136"/>
        <v/>
      </c>
      <c r="I378" s="80" t="str">
        <f t="shared" si="137"/>
        <v/>
      </c>
      <c r="J378" s="117"/>
      <c r="K378" s="117"/>
      <c r="L378" s="117"/>
      <c r="M378" s="84"/>
      <c r="O378" s="75" t="str">
        <f t="shared" si="139"/>
        <v/>
      </c>
      <c r="P378" s="75" t="str">
        <f t="shared" si="140"/>
        <v/>
      </c>
      <c r="Q378" s="75" t="str">
        <f t="shared" si="141"/>
        <v/>
      </c>
      <c r="R378" s="75" t="str">
        <f t="shared" si="142"/>
        <v/>
      </c>
      <c r="AB378" s="75" t="s">
        <v>1115</v>
      </c>
      <c r="AC378" s="75" t="s">
        <v>1116</v>
      </c>
      <c r="AD378" s="75" t="s">
        <v>5146</v>
      </c>
      <c r="AE378" s="75" t="s">
        <v>5147</v>
      </c>
      <c r="AF378" s="75" t="s">
        <v>5168</v>
      </c>
      <c r="AG378" s="75" t="s">
        <v>5178</v>
      </c>
    </row>
    <row r="379" spans="1:33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138"/>
        <v/>
      </c>
      <c r="E379" s="85"/>
      <c r="F379" s="80" t="str">
        <f t="shared" si="135"/>
        <v/>
      </c>
      <c r="G379" s="118"/>
      <c r="H379" s="80" t="str">
        <f t="shared" si="136"/>
        <v/>
      </c>
      <c r="I379" s="80" t="str">
        <f t="shared" si="137"/>
        <v/>
      </c>
      <c r="J379" s="117"/>
      <c r="K379" s="117"/>
      <c r="L379" s="117"/>
      <c r="M379" s="84"/>
      <c r="O379" s="75" t="str">
        <f t="shared" si="139"/>
        <v/>
      </c>
      <c r="P379" s="75" t="str">
        <f t="shared" si="140"/>
        <v/>
      </c>
      <c r="Q379" s="75" t="str">
        <f t="shared" si="141"/>
        <v/>
      </c>
      <c r="R379" s="75" t="str">
        <f t="shared" si="142"/>
        <v/>
      </c>
      <c r="AB379" s="75" t="s">
        <v>1117</v>
      </c>
      <c r="AC379" s="75" t="s">
        <v>1118</v>
      </c>
      <c r="AD379" s="75" t="s">
        <v>5146</v>
      </c>
      <c r="AE379" s="75" t="s">
        <v>5147</v>
      </c>
      <c r="AF379" s="75" t="s">
        <v>5168</v>
      </c>
      <c r="AG379" s="75" t="s">
        <v>5178</v>
      </c>
    </row>
    <row r="380" spans="1:33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138"/>
        <v/>
      </c>
      <c r="E380" s="85"/>
      <c r="F380" s="80" t="str">
        <f t="shared" si="135"/>
        <v/>
      </c>
      <c r="G380" s="118"/>
      <c r="H380" s="80" t="str">
        <f t="shared" si="136"/>
        <v/>
      </c>
      <c r="I380" s="80" t="str">
        <f t="shared" si="137"/>
        <v/>
      </c>
      <c r="J380" s="117"/>
      <c r="K380" s="117"/>
      <c r="L380" s="117"/>
      <c r="M380" s="84"/>
      <c r="O380" s="75" t="str">
        <f t="shared" si="139"/>
        <v/>
      </c>
      <c r="P380" s="75" t="str">
        <f t="shared" si="140"/>
        <v/>
      </c>
      <c r="Q380" s="75" t="str">
        <f t="shared" si="141"/>
        <v/>
      </c>
      <c r="R380" s="75" t="str">
        <f t="shared" si="142"/>
        <v/>
      </c>
      <c r="AB380" s="75" t="s">
        <v>1119</v>
      </c>
      <c r="AC380" s="75" t="s">
        <v>1120</v>
      </c>
      <c r="AD380" s="75" t="s">
        <v>5146</v>
      </c>
      <c r="AE380" s="75" t="s">
        <v>5147</v>
      </c>
      <c r="AF380" s="75" t="s">
        <v>5168</v>
      </c>
      <c r="AG380" s="75" t="s">
        <v>5178</v>
      </c>
    </row>
    <row r="381" spans="1:33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138"/>
        <v/>
      </c>
      <c r="E381" s="85"/>
      <c r="F381" s="80" t="str">
        <f t="shared" si="135"/>
        <v/>
      </c>
      <c r="G381" s="118"/>
      <c r="H381" s="80" t="str">
        <f t="shared" si="136"/>
        <v/>
      </c>
      <c r="I381" s="80" t="str">
        <f t="shared" si="137"/>
        <v/>
      </c>
      <c r="J381" s="117"/>
      <c r="K381" s="117"/>
      <c r="L381" s="117"/>
      <c r="M381" s="84"/>
      <c r="O381" s="75" t="str">
        <f t="shared" si="139"/>
        <v/>
      </c>
      <c r="P381" s="75" t="str">
        <f t="shared" si="140"/>
        <v/>
      </c>
      <c r="Q381" s="75" t="str">
        <f t="shared" si="141"/>
        <v/>
      </c>
      <c r="R381" s="75" t="str">
        <f t="shared" si="142"/>
        <v/>
      </c>
      <c r="AB381" s="75" t="s">
        <v>1121</v>
      </c>
      <c r="AC381" s="75" t="s">
        <v>1122</v>
      </c>
      <c r="AD381" s="75" t="s">
        <v>5162</v>
      </c>
      <c r="AE381" s="75" t="s">
        <v>5163</v>
      </c>
      <c r="AF381" s="75" t="s">
        <v>5168</v>
      </c>
      <c r="AG381" s="75" t="s">
        <v>5180</v>
      </c>
    </row>
    <row r="382" spans="1:33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138"/>
        <v/>
      </c>
      <c r="E382" s="85"/>
      <c r="F382" s="80" t="str">
        <f t="shared" si="135"/>
        <v/>
      </c>
      <c r="G382" s="118"/>
      <c r="H382" s="80" t="str">
        <f t="shared" si="136"/>
        <v/>
      </c>
      <c r="I382" s="80" t="str">
        <f t="shared" si="137"/>
        <v/>
      </c>
      <c r="J382" s="117"/>
      <c r="K382" s="117"/>
      <c r="L382" s="117"/>
      <c r="M382" s="84"/>
      <c r="O382" s="75" t="str">
        <f t="shared" si="139"/>
        <v/>
      </c>
      <c r="P382" s="75" t="str">
        <f t="shared" si="140"/>
        <v/>
      </c>
      <c r="Q382" s="75" t="str">
        <f t="shared" si="141"/>
        <v/>
      </c>
      <c r="R382" s="75" t="str">
        <f t="shared" si="142"/>
        <v/>
      </c>
      <c r="AB382" s="75" t="s">
        <v>1121</v>
      </c>
      <c r="AC382" s="75" t="s">
        <v>1122</v>
      </c>
      <c r="AD382" s="75" t="s">
        <v>5146</v>
      </c>
      <c r="AE382" s="75" t="s">
        <v>5147</v>
      </c>
      <c r="AF382" s="75" t="s">
        <v>5168</v>
      </c>
      <c r="AG382" s="75" t="s">
        <v>5178</v>
      </c>
    </row>
    <row r="383" spans="1:33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138"/>
        <v/>
      </c>
      <c r="E383" s="85"/>
      <c r="F383" s="80" t="str">
        <f t="shared" si="135"/>
        <v/>
      </c>
      <c r="G383" s="118"/>
      <c r="H383" s="80" t="str">
        <f t="shared" si="136"/>
        <v/>
      </c>
      <c r="I383" s="80" t="str">
        <f t="shared" si="137"/>
        <v/>
      </c>
      <c r="J383" s="117"/>
      <c r="K383" s="117"/>
      <c r="L383" s="117"/>
      <c r="M383" s="84"/>
      <c r="O383" s="75" t="str">
        <f t="shared" si="139"/>
        <v/>
      </c>
      <c r="P383" s="75" t="str">
        <f t="shared" si="140"/>
        <v/>
      </c>
      <c r="Q383" s="75" t="str">
        <f t="shared" si="141"/>
        <v/>
      </c>
      <c r="R383" s="75" t="str">
        <f t="shared" si="142"/>
        <v/>
      </c>
      <c r="AB383" s="75" t="s">
        <v>1123</v>
      </c>
      <c r="AC383" s="75" t="s">
        <v>1124</v>
      </c>
      <c r="AD383" s="75" t="s">
        <v>5146</v>
      </c>
      <c r="AE383" s="75" t="s">
        <v>5147</v>
      </c>
      <c r="AF383" s="75" t="s">
        <v>5168</v>
      </c>
      <c r="AG383" s="75" t="s">
        <v>5178</v>
      </c>
    </row>
    <row r="384" spans="1:33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138"/>
        <v/>
      </c>
      <c r="E384" s="85"/>
      <c r="F384" s="80" t="str">
        <f t="shared" si="135"/>
        <v/>
      </c>
      <c r="G384" s="118"/>
      <c r="H384" s="80" t="str">
        <f t="shared" si="136"/>
        <v/>
      </c>
      <c r="I384" s="80" t="str">
        <f t="shared" si="137"/>
        <v/>
      </c>
      <c r="J384" s="117"/>
      <c r="K384" s="117"/>
      <c r="L384" s="117"/>
      <c r="M384" s="84"/>
      <c r="O384" s="75" t="str">
        <f t="shared" si="139"/>
        <v/>
      </c>
      <c r="P384" s="75" t="str">
        <f t="shared" si="140"/>
        <v/>
      </c>
      <c r="Q384" s="75" t="str">
        <f t="shared" si="141"/>
        <v/>
      </c>
      <c r="R384" s="75" t="str">
        <f t="shared" si="142"/>
        <v/>
      </c>
      <c r="AB384" s="75" t="s">
        <v>1125</v>
      </c>
      <c r="AC384" s="75" t="s">
        <v>1126</v>
      </c>
      <c r="AD384" s="75" t="s">
        <v>5146</v>
      </c>
      <c r="AE384" s="75" t="s">
        <v>5147</v>
      </c>
      <c r="AF384" s="75" t="s">
        <v>5168</v>
      </c>
      <c r="AG384" s="75" t="s">
        <v>5178</v>
      </c>
    </row>
    <row r="385" spans="1:33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138"/>
        <v/>
      </c>
      <c r="E385" s="85"/>
      <c r="F385" s="80" t="str">
        <f t="shared" si="135"/>
        <v/>
      </c>
      <c r="G385" s="118"/>
      <c r="H385" s="80" t="str">
        <f t="shared" si="136"/>
        <v/>
      </c>
      <c r="I385" s="80" t="str">
        <f t="shared" si="137"/>
        <v/>
      </c>
      <c r="J385" s="117"/>
      <c r="K385" s="117"/>
      <c r="L385" s="117"/>
      <c r="M385" s="84"/>
      <c r="O385" s="75" t="str">
        <f t="shared" si="139"/>
        <v/>
      </c>
      <c r="P385" s="75" t="str">
        <f t="shared" si="140"/>
        <v/>
      </c>
      <c r="Q385" s="75" t="str">
        <f t="shared" si="141"/>
        <v/>
      </c>
      <c r="R385" s="75" t="str">
        <f t="shared" si="142"/>
        <v/>
      </c>
      <c r="AB385" s="75" t="s">
        <v>1964</v>
      </c>
      <c r="AC385" s="75" t="s">
        <v>1965</v>
      </c>
      <c r="AD385" s="75" t="s">
        <v>5146</v>
      </c>
      <c r="AE385" s="75" t="s">
        <v>5147</v>
      </c>
      <c r="AF385" s="75" t="s">
        <v>5168</v>
      </c>
      <c r="AG385" s="75" t="s">
        <v>5178</v>
      </c>
    </row>
    <row r="386" spans="1:33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138"/>
        <v/>
      </c>
      <c r="E386" s="85"/>
      <c r="F386" s="80" t="str">
        <f t="shared" si="135"/>
        <v/>
      </c>
      <c r="G386" s="118"/>
      <c r="H386" s="80" t="str">
        <f t="shared" si="136"/>
        <v/>
      </c>
      <c r="I386" s="80" t="str">
        <f t="shared" si="137"/>
        <v/>
      </c>
      <c r="J386" s="117"/>
      <c r="K386" s="117"/>
      <c r="L386" s="117"/>
      <c r="M386" s="84"/>
      <c r="O386" s="75" t="str">
        <f t="shared" si="139"/>
        <v/>
      </c>
      <c r="P386" s="75" t="str">
        <f t="shared" si="140"/>
        <v/>
      </c>
      <c r="Q386" s="75" t="str">
        <f t="shared" si="141"/>
        <v/>
      </c>
      <c r="R386" s="75" t="str">
        <f t="shared" si="142"/>
        <v/>
      </c>
      <c r="AB386" s="75" t="s">
        <v>1966</v>
      </c>
      <c r="AC386" s="75" t="s">
        <v>1967</v>
      </c>
      <c r="AD386" s="75" t="s">
        <v>5146</v>
      </c>
      <c r="AE386" s="75" t="s">
        <v>5147</v>
      </c>
      <c r="AF386" s="75" t="s">
        <v>5168</v>
      </c>
      <c r="AG386" s="75" t="s">
        <v>5178</v>
      </c>
    </row>
    <row r="387" spans="1:33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138"/>
        <v/>
      </c>
      <c r="E387" s="85"/>
      <c r="F387" s="80" t="str">
        <f t="shared" si="135"/>
        <v/>
      </c>
      <c r="G387" s="118"/>
      <c r="H387" s="80" t="str">
        <f t="shared" si="136"/>
        <v/>
      </c>
      <c r="I387" s="80" t="str">
        <f t="shared" si="137"/>
        <v/>
      </c>
      <c r="J387" s="117"/>
      <c r="K387" s="117"/>
      <c r="L387" s="117"/>
      <c r="M387" s="84"/>
      <c r="O387" s="75" t="str">
        <f t="shared" si="139"/>
        <v/>
      </c>
      <c r="P387" s="75" t="str">
        <f t="shared" si="140"/>
        <v/>
      </c>
      <c r="Q387" s="75" t="str">
        <f t="shared" si="141"/>
        <v/>
      </c>
      <c r="R387" s="75" t="str">
        <f t="shared" si="142"/>
        <v/>
      </c>
      <c r="AB387" s="75" t="s">
        <v>1968</v>
      </c>
      <c r="AC387" s="75" t="s">
        <v>1969</v>
      </c>
      <c r="AD387" s="75" t="s">
        <v>5146</v>
      </c>
      <c r="AE387" s="75" t="s">
        <v>5147</v>
      </c>
      <c r="AF387" s="75" t="s">
        <v>5168</v>
      </c>
      <c r="AG387" s="75" t="s">
        <v>5178</v>
      </c>
    </row>
    <row r="388" spans="1:33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138"/>
        <v/>
      </c>
      <c r="E388" s="85"/>
      <c r="F388" s="80" t="str">
        <f t="shared" si="135"/>
        <v/>
      </c>
      <c r="G388" s="118"/>
      <c r="H388" s="80" t="str">
        <f t="shared" si="136"/>
        <v/>
      </c>
      <c r="I388" s="80" t="str">
        <f t="shared" si="137"/>
        <v/>
      </c>
      <c r="J388" s="117"/>
      <c r="K388" s="117"/>
      <c r="L388" s="117"/>
      <c r="M388" s="84"/>
      <c r="O388" s="75" t="str">
        <f t="shared" si="139"/>
        <v/>
      </c>
      <c r="P388" s="75" t="str">
        <f t="shared" si="140"/>
        <v/>
      </c>
      <c r="Q388" s="75" t="str">
        <f t="shared" si="141"/>
        <v/>
      </c>
      <c r="R388" s="75" t="str">
        <f t="shared" si="142"/>
        <v/>
      </c>
      <c r="AB388" s="75" t="s">
        <v>3513</v>
      </c>
      <c r="AC388" s="75" t="s">
        <v>3514</v>
      </c>
      <c r="AD388" s="75" t="s">
        <v>5146</v>
      </c>
      <c r="AE388" s="75" t="s">
        <v>5147</v>
      </c>
      <c r="AF388" s="75" t="s">
        <v>5168</v>
      </c>
      <c r="AG388" s="75" t="s">
        <v>5178</v>
      </c>
    </row>
    <row r="389" spans="1:33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138"/>
        <v/>
      </c>
      <c r="E389" s="85"/>
      <c r="F389" s="80" t="str">
        <f t="shared" ref="F389:F452" si="143">IFERROR(VLOOKUP(E389,$V$5:$X$203,2,FALSE),"")</f>
        <v/>
      </c>
      <c r="G389" s="118"/>
      <c r="H389" s="80" t="str">
        <f t="shared" ref="H389:H452" si="144">IFERROR(VLOOKUP(G389,$AB$7:$AC$401,2,FALSE),"")</f>
        <v/>
      </c>
      <c r="I389" s="80" t="str">
        <f t="shared" ref="I389:I452" si="145">IFERROR(VLOOKUP(G389,$AB$7:$AF$401,3,FALSE),"")</f>
        <v/>
      </c>
      <c r="J389" s="117"/>
      <c r="K389" s="117"/>
      <c r="L389" s="117"/>
      <c r="M389" s="84"/>
      <c r="O389" s="75" t="str">
        <f t="shared" si="139"/>
        <v/>
      </c>
      <c r="P389" s="75" t="str">
        <f t="shared" si="140"/>
        <v/>
      </c>
      <c r="Q389" s="75" t="str">
        <f t="shared" si="141"/>
        <v/>
      </c>
      <c r="R389" s="75" t="str">
        <f t="shared" si="142"/>
        <v/>
      </c>
      <c r="AB389" s="75" t="s">
        <v>1127</v>
      </c>
      <c r="AC389" s="75" t="s">
        <v>684</v>
      </c>
      <c r="AD389" s="75" t="s">
        <v>5162</v>
      </c>
      <c r="AE389" s="75" t="s">
        <v>5163</v>
      </c>
      <c r="AF389" s="75" t="s">
        <v>5168</v>
      </c>
      <c r="AG389" s="75" t="s">
        <v>5180</v>
      </c>
    </row>
    <row r="390" spans="1:33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138"/>
        <v/>
      </c>
      <c r="E390" s="85"/>
      <c r="F390" s="80" t="str">
        <f t="shared" si="143"/>
        <v/>
      </c>
      <c r="G390" s="118"/>
      <c r="H390" s="80" t="str">
        <f t="shared" si="144"/>
        <v/>
      </c>
      <c r="I390" s="80" t="str">
        <f t="shared" si="145"/>
        <v/>
      </c>
      <c r="J390" s="117"/>
      <c r="K390" s="117"/>
      <c r="L390" s="117"/>
      <c r="M390" s="84"/>
      <c r="O390" s="75" t="str">
        <f t="shared" si="139"/>
        <v/>
      </c>
      <c r="P390" s="75" t="str">
        <f t="shared" si="140"/>
        <v/>
      </c>
      <c r="Q390" s="75" t="str">
        <f t="shared" si="141"/>
        <v/>
      </c>
      <c r="R390" s="75" t="str">
        <f t="shared" si="142"/>
        <v/>
      </c>
      <c r="AB390" s="75" t="s">
        <v>1128</v>
      </c>
      <c r="AC390" s="75" t="s">
        <v>1129</v>
      </c>
      <c r="AD390" s="75" t="s">
        <v>5162</v>
      </c>
      <c r="AE390" s="75" t="s">
        <v>5163</v>
      </c>
      <c r="AF390" s="75" t="s">
        <v>5168</v>
      </c>
      <c r="AG390" s="75" t="s">
        <v>5180</v>
      </c>
    </row>
    <row r="391" spans="1:33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138"/>
        <v/>
      </c>
      <c r="E391" s="85"/>
      <c r="F391" s="80" t="str">
        <f t="shared" si="143"/>
        <v/>
      </c>
      <c r="G391" s="118"/>
      <c r="H391" s="80" t="str">
        <f t="shared" si="144"/>
        <v/>
      </c>
      <c r="I391" s="80" t="str">
        <f t="shared" si="145"/>
        <v/>
      </c>
      <c r="J391" s="117"/>
      <c r="K391" s="117"/>
      <c r="L391" s="117"/>
      <c r="M391" s="84"/>
      <c r="O391" s="75" t="str">
        <f t="shared" si="139"/>
        <v/>
      </c>
      <c r="P391" s="75" t="str">
        <f t="shared" si="140"/>
        <v/>
      </c>
      <c r="Q391" s="75" t="str">
        <f t="shared" si="141"/>
        <v/>
      </c>
      <c r="R391" s="75" t="str">
        <f t="shared" si="142"/>
        <v/>
      </c>
      <c r="AB391" s="75" t="s">
        <v>1792</v>
      </c>
      <c r="AC391" s="75" t="s">
        <v>1793</v>
      </c>
      <c r="AD391" s="75" t="s">
        <v>5144</v>
      </c>
      <c r="AE391" s="75" t="s">
        <v>5145</v>
      </c>
      <c r="AF391" s="75" t="s">
        <v>5170</v>
      </c>
      <c r="AG391" s="75" t="s">
        <v>5171</v>
      </c>
    </row>
    <row r="392" spans="1:33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138"/>
        <v/>
      </c>
      <c r="E392" s="85"/>
      <c r="F392" s="80" t="str">
        <f t="shared" si="143"/>
        <v/>
      </c>
      <c r="G392" s="118"/>
      <c r="H392" s="80" t="str">
        <f t="shared" si="144"/>
        <v/>
      </c>
      <c r="I392" s="80" t="str">
        <f t="shared" si="145"/>
        <v/>
      </c>
      <c r="J392" s="117"/>
      <c r="K392" s="117"/>
      <c r="L392" s="117"/>
      <c r="M392" s="84"/>
      <c r="O392" s="75" t="str">
        <f t="shared" si="139"/>
        <v/>
      </c>
      <c r="P392" s="75" t="str">
        <f t="shared" si="140"/>
        <v/>
      </c>
      <c r="Q392" s="75" t="str">
        <f t="shared" si="141"/>
        <v/>
      </c>
      <c r="R392" s="75" t="str">
        <f t="shared" si="142"/>
        <v/>
      </c>
      <c r="AB392" s="75" t="s">
        <v>1824</v>
      </c>
      <c r="AC392" s="75" t="s">
        <v>1825</v>
      </c>
      <c r="AD392" s="75" t="s">
        <v>5144</v>
      </c>
      <c r="AE392" s="75" t="s">
        <v>5145</v>
      </c>
      <c r="AF392" s="75" t="s">
        <v>5170</v>
      </c>
      <c r="AG392" s="75" t="s">
        <v>5171</v>
      </c>
    </row>
    <row r="393" spans="1:33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138"/>
        <v/>
      </c>
      <c r="E393" s="85"/>
      <c r="F393" s="80" t="str">
        <f t="shared" si="143"/>
        <v/>
      </c>
      <c r="G393" s="118"/>
      <c r="H393" s="80" t="str">
        <f t="shared" si="144"/>
        <v/>
      </c>
      <c r="I393" s="80" t="str">
        <f t="shared" si="145"/>
        <v/>
      </c>
      <c r="J393" s="117"/>
      <c r="K393" s="117"/>
      <c r="L393" s="117"/>
      <c r="M393" s="84"/>
      <c r="O393" s="75" t="str">
        <f t="shared" si="139"/>
        <v/>
      </c>
      <c r="P393" s="75" t="str">
        <f t="shared" si="140"/>
        <v/>
      </c>
      <c r="Q393" s="75" t="str">
        <f t="shared" si="141"/>
        <v/>
      </c>
      <c r="R393" s="75" t="str">
        <f t="shared" si="142"/>
        <v/>
      </c>
      <c r="AB393" s="75" t="s">
        <v>3515</v>
      </c>
      <c r="AC393" s="75" t="s">
        <v>3516</v>
      </c>
      <c r="AD393" s="75" t="s">
        <v>5144</v>
      </c>
      <c r="AE393" s="75" t="s">
        <v>5145</v>
      </c>
      <c r="AF393" s="75" t="s">
        <v>5170</v>
      </c>
      <c r="AG393" s="75" t="s">
        <v>5171</v>
      </c>
    </row>
    <row r="394" spans="1:33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138"/>
        <v/>
      </c>
      <c r="E394" s="85"/>
      <c r="F394" s="80" t="str">
        <f t="shared" si="143"/>
        <v/>
      </c>
      <c r="G394" s="118"/>
      <c r="H394" s="80" t="str">
        <f t="shared" si="144"/>
        <v/>
      </c>
      <c r="I394" s="80" t="str">
        <f t="shared" si="145"/>
        <v/>
      </c>
      <c r="J394" s="117"/>
      <c r="K394" s="117"/>
      <c r="L394" s="117"/>
      <c r="M394" s="84"/>
      <c r="O394" s="75" t="str">
        <f t="shared" si="139"/>
        <v/>
      </c>
      <c r="P394" s="75" t="str">
        <f t="shared" si="140"/>
        <v/>
      </c>
      <c r="Q394" s="75" t="str">
        <f t="shared" si="141"/>
        <v/>
      </c>
      <c r="R394" s="75" t="str">
        <f t="shared" si="142"/>
        <v/>
      </c>
      <c r="AB394" s="75" t="s">
        <v>3517</v>
      </c>
      <c r="AC394" s="75" t="s">
        <v>3518</v>
      </c>
      <c r="AD394" s="75" t="s">
        <v>5144</v>
      </c>
      <c r="AE394" s="75" t="s">
        <v>5145</v>
      </c>
      <c r="AF394" s="75" t="s">
        <v>5170</v>
      </c>
      <c r="AG394" s="75" t="s">
        <v>5171</v>
      </c>
    </row>
    <row r="395" spans="1:33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ref="D395:D458" si="146">IFERROR(VLOOKUP(C395,$S$7:$T$48,2,FALSE),"")</f>
        <v/>
      </c>
      <c r="E395" s="85"/>
      <c r="F395" s="80" t="str">
        <f t="shared" si="143"/>
        <v/>
      </c>
      <c r="G395" s="118"/>
      <c r="H395" s="80" t="str">
        <f t="shared" si="144"/>
        <v/>
      </c>
      <c r="I395" s="80" t="str">
        <f t="shared" si="145"/>
        <v/>
      </c>
      <c r="J395" s="117"/>
      <c r="K395" s="117"/>
      <c r="L395" s="117"/>
      <c r="M395" s="84"/>
      <c r="O395" s="75" t="str">
        <f t="shared" si="139"/>
        <v/>
      </c>
      <c r="P395" s="75" t="str">
        <f t="shared" si="140"/>
        <v/>
      </c>
      <c r="Q395" s="75" t="str">
        <f t="shared" si="141"/>
        <v/>
      </c>
      <c r="R395" s="75" t="str">
        <f t="shared" si="142"/>
        <v/>
      </c>
      <c r="AB395" s="75" t="s">
        <v>3519</v>
      </c>
      <c r="AC395" s="75" t="s">
        <v>3520</v>
      </c>
      <c r="AD395" s="75" t="s">
        <v>5144</v>
      </c>
      <c r="AE395" s="75" t="s">
        <v>5145</v>
      </c>
      <c r="AF395" s="75" t="s">
        <v>5170</v>
      </c>
      <c r="AG395" s="75" t="s">
        <v>5171</v>
      </c>
    </row>
    <row r="396" spans="1:33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146"/>
        <v/>
      </c>
      <c r="E396" s="85"/>
      <c r="F396" s="80" t="str">
        <f t="shared" si="143"/>
        <v/>
      </c>
      <c r="G396" s="118"/>
      <c r="H396" s="80" t="str">
        <f t="shared" si="144"/>
        <v/>
      </c>
      <c r="I396" s="80" t="str">
        <f t="shared" si="145"/>
        <v/>
      </c>
      <c r="J396" s="117"/>
      <c r="K396" s="117"/>
      <c r="L396" s="117"/>
      <c r="M396" s="84"/>
      <c r="O396" s="75" t="str">
        <f t="shared" si="139"/>
        <v/>
      </c>
      <c r="P396" s="75" t="str">
        <f t="shared" si="140"/>
        <v/>
      </c>
      <c r="Q396" s="75" t="str">
        <f t="shared" si="141"/>
        <v/>
      </c>
      <c r="R396" s="75" t="str">
        <f t="shared" si="142"/>
        <v/>
      </c>
      <c r="AB396" s="75" t="s">
        <v>1868</v>
      </c>
      <c r="AC396" s="75" t="s">
        <v>1869</v>
      </c>
      <c r="AD396" s="75" t="s">
        <v>5144</v>
      </c>
      <c r="AE396" s="75" t="s">
        <v>5145</v>
      </c>
      <c r="AF396" s="75" t="s">
        <v>5170</v>
      </c>
      <c r="AG396" s="75" t="s">
        <v>5171</v>
      </c>
    </row>
    <row r="397" spans="1:33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146"/>
        <v/>
      </c>
      <c r="E397" s="85"/>
      <c r="F397" s="80" t="str">
        <f t="shared" si="143"/>
        <v/>
      </c>
      <c r="G397" s="118"/>
      <c r="H397" s="80" t="str">
        <f t="shared" si="144"/>
        <v/>
      </c>
      <c r="I397" s="80" t="str">
        <f t="shared" si="145"/>
        <v/>
      </c>
      <c r="J397" s="117"/>
      <c r="K397" s="117"/>
      <c r="L397" s="117"/>
      <c r="M397" s="84"/>
      <c r="O397" s="75" t="str">
        <f t="shared" si="139"/>
        <v/>
      </c>
      <c r="P397" s="75" t="str">
        <f t="shared" si="140"/>
        <v/>
      </c>
      <c r="Q397" s="75" t="str">
        <f t="shared" si="141"/>
        <v/>
      </c>
      <c r="R397" s="75" t="str">
        <f t="shared" si="142"/>
        <v/>
      </c>
      <c r="AB397" s="75" t="s">
        <v>959</v>
      </c>
      <c r="AC397" s="75" t="s">
        <v>960</v>
      </c>
      <c r="AD397" s="75" t="s">
        <v>5144</v>
      </c>
      <c r="AE397" s="75" t="s">
        <v>5145</v>
      </c>
      <c r="AF397" s="75" t="s">
        <v>5170</v>
      </c>
      <c r="AG397" s="75" t="s">
        <v>5171</v>
      </c>
    </row>
    <row r="398" spans="1:33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146"/>
        <v/>
      </c>
      <c r="E398" s="85"/>
      <c r="F398" s="80" t="str">
        <f t="shared" si="143"/>
        <v/>
      </c>
      <c r="G398" s="118"/>
      <c r="H398" s="80" t="str">
        <f t="shared" si="144"/>
        <v/>
      </c>
      <c r="I398" s="80" t="str">
        <f t="shared" si="145"/>
        <v/>
      </c>
      <c r="J398" s="117"/>
      <c r="K398" s="117"/>
      <c r="L398" s="117"/>
      <c r="M398" s="84"/>
      <c r="O398" s="75" t="str">
        <f t="shared" ref="O398:O461" si="147">LEFT(E398,3)</f>
        <v/>
      </c>
      <c r="P398" s="75" t="str">
        <f t="shared" ref="P398:P461" si="148">LEFT(E398,2)</f>
        <v/>
      </c>
      <c r="Q398" s="75" t="str">
        <f t="shared" ref="Q398:Q461" si="149">LEFT(C398,3)</f>
        <v/>
      </c>
      <c r="R398" s="75" t="str">
        <f t="shared" ref="R398:R461" si="150">MID(I398,2,2)</f>
        <v/>
      </c>
      <c r="AB398" s="75" t="s">
        <v>3521</v>
      </c>
      <c r="AC398" s="75" t="s">
        <v>3522</v>
      </c>
      <c r="AD398" s="75" t="s">
        <v>5144</v>
      </c>
      <c r="AE398" s="75" t="s">
        <v>5145</v>
      </c>
      <c r="AF398" s="75" t="s">
        <v>5170</v>
      </c>
      <c r="AG398" s="75" t="s">
        <v>5171</v>
      </c>
    </row>
    <row r="399" spans="1:33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146"/>
        <v/>
      </c>
      <c r="E399" s="85"/>
      <c r="F399" s="80" t="str">
        <f t="shared" si="143"/>
        <v/>
      </c>
      <c r="G399" s="118"/>
      <c r="H399" s="80" t="str">
        <f t="shared" si="144"/>
        <v/>
      </c>
      <c r="I399" s="80" t="str">
        <f t="shared" si="145"/>
        <v/>
      </c>
      <c r="J399" s="117"/>
      <c r="K399" s="117"/>
      <c r="L399" s="117"/>
      <c r="M399" s="84"/>
      <c r="O399" s="75" t="str">
        <f t="shared" si="147"/>
        <v/>
      </c>
      <c r="P399" s="75" t="str">
        <f t="shared" si="148"/>
        <v/>
      </c>
      <c r="Q399" s="75" t="str">
        <f t="shared" si="149"/>
        <v/>
      </c>
      <c r="R399" s="75" t="str">
        <f t="shared" si="150"/>
        <v/>
      </c>
      <c r="AB399" s="75" t="s">
        <v>3523</v>
      </c>
      <c r="AC399" s="75" t="s">
        <v>3524</v>
      </c>
      <c r="AD399" s="75" t="s">
        <v>5144</v>
      </c>
      <c r="AE399" s="75" t="s">
        <v>5145</v>
      </c>
      <c r="AF399" s="75" t="s">
        <v>5170</v>
      </c>
      <c r="AG399" s="75" t="s">
        <v>5171</v>
      </c>
    </row>
    <row r="400" spans="1:33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146"/>
        <v/>
      </c>
      <c r="E400" s="85"/>
      <c r="F400" s="80" t="str">
        <f t="shared" si="143"/>
        <v/>
      </c>
      <c r="G400" s="118"/>
      <c r="H400" s="80" t="str">
        <f t="shared" si="144"/>
        <v/>
      </c>
      <c r="I400" s="80" t="str">
        <f t="shared" si="145"/>
        <v/>
      </c>
      <c r="J400" s="117"/>
      <c r="K400" s="117"/>
      <c r="L400" s="117"/>
      <c r="M400" s="84"/>
      <c r="O400" s="75" t="str">
        <f t="shared" si="147"/>
        <v/>
      </c>
      <c r="P400" s="75" t="str">
        <f t="shared" si="148"/>
        <v/>
      </c>
      <c r="Q400" s="75" t="str">
        <f t="shared" si="149"/>
        <v/>
      </c>
      <c r="R400" s="75" t="str">
        <f t="shared" si="150"/>
        <v/>
      </c>
      <c r="AB400" s="75" t="s">
        <v>3525</v>
      </c>
      <c r="AC400" s="75" t="s">
        <v>3526</v>
      </c>
      <c r="AD400" s="75" t="s">
        <v>5144</v>
      </c>
      <c r="AE400" s="75" t="s">
        <v>5145</v>
      </c>
      <c r="AF400" s="75" t="s">
        <v>5170</v>
      </c>
      <c r="AG400" s="75" t="s">
        <v>5171</v>
      </c>
    </row>
    <row r="401" spans="1:33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146"/>
        <v/>
      </c>
      <c r="E401" s="85"/>
      <c r="F401" s="80" t="str">
        <f t="shared" si="143"/>
        <v/>
      </c>
      <c r="G401" s="118"/>
      <c r="H401" s="80" t="str">
        <f t="shared" si="144"/>
        <v/>
      </c>
      <c r="I401" s="80" t="str">
        <f t="shared" si="145"/>
        <v/>
      </c>
      <c r="J401" s="117"/>
      <c r="K401" s="117"/>
      <c r="L401" s="117"/>
      <c r="M401" s="84"/>
      <c r="O401" s="75" t="str">
        <f t="shared" si="147"/>
        <v/>
      </c>
      <c r="P401" s="75" t="str">
        <f t="shared" si="148"/>
        <v/>
      </c>
      <c r="Q401" s="75" t="str">
        <f t="shared" si="149"/>
        <v/>
      </c>
      <c r="R401" s="75" t="str">
        <f t="shared" si="150"/>
        <v/>
      </c>
      <c r="AB401" s="75" t="s">
        <v>3463</v>
      </c>
      <c r="AC401" s="75" t="s">
        <v>684</v>
      </c>
      <c r="AD401" s="75" t="s">
        <v>5144</v>
      </c>
      <c r="AE401" s="75" t="s">
        <v>5145</v>
      </c>
      <c r="AF401" s="75" t="s">
        <v>5170</v>
      </c>
      <c r="AG401" s="75" t="s">
        <v>5171</v>
      </c>
    </row>
    <row r="402" spans="1:33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146"/>
        <v/>
      </c>
      <c r="E402" s="85"/>
      <c r="F402" s="80" t="str">
        <f t="shared" si="143"/>
        <v/>
      </c>
      <c r="G402" s="118"/>
      <c r="H402" s="80" t="str">
        <f t="shared" si="144"/>
        <v/>
      </c>
      <c r="I402" s="80" t="str">
        <f t="shared" si="145"/>
        <v/>
      </c>
      <c r="J402" s="117"/>
      <c r="K402" s="117"/>
      <c r="L402" s="117"/>
      <c r="M402" s="84"/>
      <c r="O402" s="75" t="str">
        <f t="shared" si="147"/>
        <v/>
      </c>
      <c r="P402" s="75" t="str">
        <f t="shared" si="148"/>
        <v/>
      </c>
      <c r="Q402" s="75" t="str">
        <f t="shared" si="149"/>
        <v/>
      </c>
      <c r="R402" s="75" t="str">
        <f t="shared" si="150"/>
        <v/>
      </c>
    </row>
    <row r="403" spans="1:33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146"/>
        <v/>
      </c>
      <c r="E403" s="85"/>
      <c r="F403" s="80" t="str">
        <f t="shared" si="143"/>
        <v/>
      </c>
      <c r="G403" s="118"/>
      <c r="H403" s="80" t="str">
        <f t="shared" si="144"/>
        <v/>
      </c>
      <c r="I403" s="80" t="str">
        <f t="shared" si="145"/>
        <v/>
      </c>
      <c r="J403" s="117"/>
      <c r="K403" s="117"/>
      <c r="L403" s="117"/>
      <c r="M403" s="84"/>
      <c r="O403" s="75" t="str">
        <f t="shared" si="147"/>
        <v/>
      </c>
      <c r="P403" s="75" t="str">
        <f t="shared" si="148"/>
        <v/>
      </c>
      <c r="Q403" s="75" t="str">
        <f t="shared" si="149"/>
        <v/>
      </c>
      <c r="R403" s="75" t="str">
        <f t="shared" si="150"/>
        <v/>
      </c>
    </row>
    <row r="404" spans="1:33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146"/>
        <v/>
      </c>
      <c r="E404" s="85"/>
      <c r="F404" s="80" t="str">
        <f t="shared" si="143"/>
        <v/>
      </c>
      <c r="G404" s="118"/>
      <c r="H404" s="80" t="str">
        <f t="shared" si="144"/>
        <v/>
      </c>
      <c r="I404" s="80" t="str">
        <f t="shared" si="145"/>
        <v/>
      </c>
      <c r="J404" s="117"/>
      <c r="K404" s="117"/>
      <c r="L404" s="117"/>
      <c r="M404" s="84"/>
      <c r="O404" s="75" t="str">
        <f t="shared" si="147"/>
        <v/>
      </c>
      <c r="P404" s="75" t="str">
        <f t="shared" si="148"/>
        <v/>
      </c>
      <c r="Q404" s="75" t="str">
        <f t="shared" si="149"/>
        <v/>
      </c>
      <c r="R404" s="75" t="str">
        <f t="shared" si="150"/>
        <v/>
      </c>
    </row>
    <row r="405" spans="1:33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146"/>
        <v/>
      </c>
      <c r="E405" s="85"/>
      <c r="F405" s="80" t="str">
        <f t="shared" si="143"/>
        <v/>
      </c>
      <c r="G405" s="118"/>
      <c r="H405" s="80" t="str">
        <f t="shared" si="144"/>
        <v/>
      </c>
      <c r="I405" s="80" t="str">
        <f t="shared" si="145"/>
        <v/>
      </c>
      <c r="J405" s="117"/>
      <c r="K405" s="117"/>
      <c r="L405" s="117"/>
      <c r="M405" s="84"/>
      <c r="O405" s="75" t="str">
        <f t="shared" si="147"/>
        <v/>
      </c>
      <c r="P405" s="75" t="str">
        <f t="shared" si="148"/>
        <v/>
      </c>
      <c r="Q405" s="75" t="str">
        <f t="shared" si="149"/>
        <v/>
      </c>
      <c r="R405" s="75" t="str">
        <f t="shared" si="150"/>
        <v/>
      </c>
    </row>
    <row r="406" spans="1:33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146"/>
        <v/>
      </c>
      <c r="E406" s="85"/>
      <c r="F406" s="80" t="str">
        <f t="shared" si="143"/>
        <v/>
      </c>
      <c r="G406" s="118"/>
      <c r="H406" s="80" t="str">
        <f t="shared" si="144"/>
        <v/>
      </c>
      <c r="I406" s="80" t="str">
        <f t="shared" si="145"/>
        <v/>
      </c>
      <c r="J406" s="117"/>
      <c r="K406" s="117"/>
      <c r="L406" s="117"/>
      <c r="M406" s="84"/>
      <c r="O406" s="75" t="str">
        <f t="shared" si="147"/>
        <v/>
      </c>
      <c r="P406" s="75" t="str">
        <f t="shared" si="148"/>
        <v/>
      </c>
      <c r="Q406" s="75" t="str">
        <f t="shared" si="149"/>
        <v/>
      </c>
      <c r="R406" s="75" t="str">
        <f t="shared" si="150"/>
        <v/>
      </c>
    </row>
    <row r="407" spans="1:33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146"/>
        <v/>
      </c>
      <c r="E407" s="85"/>
      <c r="F407" s="80" t="str">
        <f t="shared" si="143"/>
        <v/>
      </c>
      <c r="G407" s="118"/>
      <c r="H407" s="80" t="str">
        <f t="shared" si="144"/>
        <v/>
      </c>
      <c r="I407" s="80" t="str">
        <f t="shared" si="145"/>
        <v/>
      </c>
      <c r="J407" s="117"/>
      <c r="K407" s="117"/>
      <c r="L407" s="117"/>
      <c r="M407" s="84"/>
      <c r="O407" s="75" t="str">
        <f t="shared" si="147"/>
        <v/>
      </c>
      <c r="P407" s="75" t="str">
        <f t="shared" si="148"/>
        <v/>
      </c>
      <c r="Q407" s="75" t="str">
        <f t="shared" si="149"/>
        <v/>
      </c>
      <c r="R407" s="75" t="str">
        <f t="shared" si="150"/>
        <v/>
      </c>
    </row>
    <row r="408" spans="1:33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146"/>
        <v/>
      </c>
      <c r="E408" s="85"/>
      <c r="F408" s="80" t="str">
        <f t="shared" si="143"/>
        <v/>
      </c>
      <c r="G408" s="118"/>
      <c r="H408" s="80" t="str">
        <f t="shared" si="144"/>
        <v/>
      </c>
      <c r="I408" s="80" t="str">
        <f t="shared" si="145"/>
        <v/>
      </c>
      <c r="J408" s="117"/>
      <c r="K408" s="117"/>
      <c r="L408" s="117"/>
      <c r="M408" s="84"/>
      <c r="O408" s="75" t="str">
        <f t="shared" si="147"/>
        <v/>
      </c>
      <c r="P408" s="75" t="str">
        <f t="shared" si="148"/>
        <v/>
      </c>
      <c r="Q408" s="75" t="str">
        <f t="shared" si="149"/>
        <v/>
      </c>
      <c r="R408" s="75" t="str">
        <f t="shared" si="150"/>
        <v/>
      </c>
    </row>
    <row r="409" spans="1:33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146"/>
        <v/>
      </c>
      <c r="E409" s="85"/>
      <c r="F409" s="80" t="str">
        <f t="shared" si="143"/>
        <v/>
      </c>
      <c r="G409" s="118"/>
      <c r="H409" s="80" t="str">
        <f t="shared" si="144"/>
        <v/>
      </c>
      <c r="I409" s="80" t="str">
        <f t="shared" si="145"/>
        <v/>
      </c>
      <c r="J409" s="117"/>
      <c r="K409" s="117"/>
      <c r="L409" s="117"/>
      <c r="M409" s="84"/>
      <c r="O409" s="75" t="str">
        <f t="shared" si="147"/>
        <v/>
      </c>
      <c r="P409" s="75" t="str">
        <f t="shared" si="148"/>
        <v/>
      </c>
      <c r="Q409" s="75" t="str">
        <f t="shared" si="149"/>
        <v/>
      </c>
      <c r="R409" s="75" t="str">
        <f t="shared" si="150"/>
        <v/>
      </c>
    </row>
    <row r="410" spans="1:33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146"/>
        <v/>
      </c>
      <c r="E410" s="85"/>
      <c r="F410" s="80" t="str">
        <f t="shared" si="143"/>
        <v/>
      </c>
      <c r="G410" s="118"/>
      <c r="H410" s="80" t="str">
        <f t="shared" si="144"/>
        <v/>
      </c>
      <c r="I410" s="80" t="str">
        <f t="shared" si="145"/>
        <v/>
      </c>
      <c r="J410" s="117"/>
      <c r="K410" s="117"/>
      <c r="L410" s="117"/>
      <c r="M410" s="84"/>
      <c r="O410" s="75" t="str">
        <f t="shared" si="147"/>
        <v/>
      </c>
      <c r="P410" s="75" t="str">
        <f t="shared" si="148"/>
        <v/>
      </c>
      <c r="Q410" s="75" t="str">
        <f t="shared" si="149"/>
        <v/>
      </c>
      <c r="R410" s="75" t="str">
        <f t="shared" si="150"/>
        <v/>
      </c>
    </row>
    <row r="411" spans="1:33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146"/>
        <v/>
      </c>
      <c r="E411" s="85"/>
      <c r="F411" s="80" t="str">
        <f t="shared" si="143"/>
        <v/>
      </c>
      <c r="G411" s="118"/>
      <c r="H411" s="80" t="str">
        <f t="shared" si="144"/>
        <v/>
      </c>
      <c r="I411" s="80" t="str">
        <f t="shared" si="145"/>
        <v/>
      </c>
      <c r="J411" s="117"/>
      <c r="K411" s="117"/>
      <c r="L411" s="117"/>
      <c r="M411" s="84"/>
      <c r="O411" s="75" t="str">
        <f t="shared" si="147"/>
        <v/>
      </c>
      <c r="P411" s="75" t="str">
        <f t="shared" si="148"/>
        <v/>
      </c>
      <c r="Q411" s="75" t="str">
        <f t="shared" si="149"/>
        <v/>
      </c>
      <c r="R411" s="75" t="str">
        <f t="shared" si="150"/>
        <v/>
      </c>
    </row>
    <row r="412" spans="1:33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146"/>
        <v/>
      </c>
      <c r="E412" s="85"/>
      <c r="F412" s="80" t="str">
        <f t="shared" si="143"/>
        <v/>
      </c>
      <c r="G412" s="118"/>
      <c r="H412" s="80" t="str">
        <f t="shared" si="144"/>
        <v/>
      </c>
      <c r="I412" s="80" t="str">
        <f t="shared" si="145"/>
        <v/>
      </c>
      <c r="J412" s="117"/>
      <c r="K412" s="117"/>
      <c r="L412" s="117"/>
      <c r="M412" s="84"/>
      <c r="O412" s="75" t="str">
        <f t="shared" si="147"/>
        <v/>
      </c>
      <c r="P412" s="75" t="str">
        <f t="shared" si="148"/>
        <v/>
      </c>
      <c r="Q412" s="75" t="str">
        <f t="shared" si="149"/>
        <v/>
      </c>
      <c r="R412" s="75" t="str">
        <f t="shared" si="150"/>
        <v/>
      </c>
    </row>
    <row r="413" spans="1:33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146"/>
        <v/>
      </c>
      <c r="E413" s="85"/>
      <c r="F413" s="80" t="str">
        <f t="shared" si="143"/>
        <v/>
      </c>
      <c r="G413" s="118"/>
      <c r="H413" s="80" t="str">
        <f t="shared" si="144"/>
        <v/>
      </c>
      <c r="I413" s="80" t="str">
        <f t="shared" si="145"/>
        <v/>
      </c>
      <c r="J413" s="117"/>
      <c r="K413" s="117"/>
      <c r="L413" s="117"/>
      <c r="M413" s="84"/>
      <c r="O413" s="75" t="str">
        <f t="shared" si="147"/>
        <v/>
      </c>
      <c r="P413" s="75" t="str">
        <f t="shared" si="148"/>
        <v/>
      </c>
      <c r="Q413" s="75" t="str">
        <f t="shared" si="149"/>
        <v/>
      </c>
      <c r="R413" s="75" t="str">
        <f t="shared" si="150"/>
        <v/>
      </c>
    </row>
    <row r="414" spans="1:33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146"/>
        <v/>
      </c>
      <c r="E414" s="85"/>
      <c r="F414" s="80" t="str">
        <f t="shared" si="143"/>
        <v/>
      </c>
      <c r="G414" s="118"/>
      <c r="H414" s="80" t="str">
        <f t="shared" si="144"/>
        <v/>
      </c>
      <c r="I414" s="80" t="str">
        <f t="shared" si="145"/>
        <v/>
      </c>
      <c r="J414" s="117"/>
      <c r="K414" s="117"/>
      <c r="L414" s="117"/>
      <c r="M414" s="84"/>
      <c r="O414" s="75" t="str">
        <f t="shared" si="147"/>
        <v/>
      </c>
      <c r="P414" s="75" t="str">
        <f t="shared" si="148"/>
        <v/>
      </c>
      <c r="Q414" s="75" t="str">
        <f t="shared" si="149"/>
        <v/>
      </c>
      <c r="R414" s="75" t="str">
        <f t="shared" si="150"/>
        <v/>
      </c>
    </row>
    <row r="415" spans="1:33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146"/>
        <v/>
      </c>
      <c r="E415" s="85"/>
      <c r="F415" s="80" t="str">
        <f t="shared" si="143"/>
        <v/>
      </c>
      <c r="G415" s="118"/>
      <c r="H415" s="80" t="str">
        <f t="shared" si="144"/>
        <v/>
      </c>
      <c r="I415" s="80" t="str">
        <f t="shared" si="145"/>
        <v/>
      </c>
      <c r="J415" s="117"/>
      <c r="K415" s="117"/>
      <c r="L415" s="117"/>
      <c r="M415" s="84"/>
      <c r="O415" s="75" t="str">
        <f t="shared" si="147"/>
        <v/>
      </c>
      <c r="P415" s="75" t="str">
        <f t="shared" si="148"/>
        <v/>
      </c>
      <c r="Q415" s="75" t="str">
        <f t="shared" si="149"/>
        <v/>
      </c>
      <c r="R415" s="75" t="str">
        <f t="shared" si="150"/>
        <v/>
      </c>
    </row>
    <row r="416" spans="1:33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146"/>
        <v/>
      </c>
      <c r="E416" s="85"/>
      <c r="F416" s="80" t="str">
        <f t="shared" si="143"/>
        <v/>
      </c>
      <c r="G416" s="118"/>
      <c r="H416" s="80" t="str">
        <f t="shared" si="144"/>
        <v/>
      </c>
      <c r="I416" s="80" t="str">
        <f t="shared" si="145"/>
        <v/>
      </c>
      <c r="J416" s="117"/>
      <c r="K416" s="117"/>
      <c r="L416" s="117"/>
      <c r="M416" s="84"/>
      <c r="O416" s="75" t="str">
        <f t="shared" si="147"/>
        <v/>
      </c>
      <c r="P416" s="75" t="str">
        <f t="shared" si="148"/>
        <v/>
      </c>
      <c r="Q416" s="75" t="str">
        <f t="shared" si="149"/>
        <v/>
      </c>
      <c r="R416" s="75" t="str">
        <f t="shared" si="150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146"/>
        <v/>
      </c>
      <c r="E417" s="85"/>
      <c r="F417" s="80" t="str">
        <f t="shared" si="143"/>
        <v/>
      </c>
      <c r="G417" s="118"/>
      <c r="H417" s="80" t="str">
        <f t="shared" si="144"/>
        <v/>
      </c>
      <c r="I417" s="80" t="str">
        <f t="shared" si="145"/>
        <v/>
      </c>
      <c r="J417" s="117"/>
      <c r="K417" s="117"/>
      <c r="L417" s="117"/>
      <c r="M417" s="84"/>
      <c r="O417" s="75" t="str">
        <f t="shared" si="147"/>
        <v/>
      </c>
      <c r="P417" s="75" t="str">
        <f t="shared" si="148"/>
        <v/>
      </c>
      <c r="Q417" s="75" t="str">
        <f t="shared" si="149"/>
        <v/>
      </c>
      <c r="R417" s="75" t="str">
        <f t="shared" si="150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146"/>
        <v/>
      </c>
      <c r="E418" s="85"/>
      <c r="F418" s="80" t="str">
        <f t="shared" si="143"/>
        <v/>
      </c>
      <c r="G418" s="118"/>
      <c r="H418" s="80" t="str">
        <f t="shared" si="144"/>
        <v/>
      </c>
      <c r="I418" s="80" t="str">
        <f t="shared" si="145"/>
        <v/>
      </c>
      <c r="J418" s="117"/>
      <c r="K418" s="117"/>
      <c r="L418" s="117"/>
      <c r="M418" s="84"/>
      <c r="O418" s="75" t="str">
        <f t="shared" si="147"/>
        <v/>
      </c>
      <c r="P418" s="75" t="str">
        <f t="shared" si="148"/>
        <v/>
      </c>
      <c r="Q418" s="75" t="str">
        <f t="shared" si="149"/>
        <v/>
      </c>
      <c r="R418" s="75" t="str">
        <f t="shared" si="150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146"/>
        <v/>
      </c>
      <c r="E419" s="85"/>
      <c r="F419" s="80" t="str">
        <f t="shared" si="143"/>
        <v/>
      </c>
      <c r="G419" s="118"/>
      <c r="H419" s="80" t="str">
        <f t="shared" si="144"/>
        <v/>
      </c>
      <c r="I419" s="80" t="str">
        <f t="shared" si="145"/>
        <v/>
      </c>
      <c r="J419" s="117"/>
      <c r="K419" s="117"/>
      <c r="L419" s="117"/>
      <c r="M419" s="84"/>
      <c r="O419" s="75" t="str">
        <f t="shared" si="147"/>
        <v/>
      </c>
      <c r="P419" s="75" t="str">
        <f t="shared" si="148"/>
        <v/>
      </c>
      <c r="Q419" s="75" t="str">
        <f t="shared" si="149"/>
        <v/>
      </c>
      <c r="R419" s="75" t="str">
        <f t="shared" si="150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146"/>
        <v/>
      </c>
      <c r="E420" s="85"/>
      <c r="F420" s="80" t="str">
        <f t="shared" si="143"/>
        <v/>
      </c>
      <c r="G420" s="118"/>
      <c r="H420" s="80" t="str">
        <f t="shared" si="144"/>
        <v/>
      </c>
      <c r="I420" s="80" t="str">
        <f t="shared" si="145"/>
        <v/>
      </c>
      <c r="J420" s="117"/>
      <c r="K420" s="117"/>
      <c r="L420" s="117"/>
      <c r="M420" s="84"/>
      <c r="O420" s="75" t="str">
        <f t="shared" si="147"/>
        <v/>
      </c>
      <c r="P420" s="75" t="str">
        <f t="shared" si="148"/>
        <v/>
      </c>
      <c r="Q420" s="75" t="str">
        <f t="shared" si="149"/>
        <v/>
      </c>
      <c r="R420" s="75" t="str">
        <f t="shared" si="150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146"/>
        <v/>
      </c>
      <c r="E421" s="85"/>
      <c r="F421" s="80" t="str">
        <f t="shared" si="143"/>
        <v/>
      </c>
      <c r="G421" s="118"/>
      <c r="H421" s="80" t="str">
        <f t="shared" si="144"/>
        <v/>
      </c>
      <c r="I421" s="80" t="str">
        <f t="shared" si="145"/>
        <v/>
      </c>
      <c r="J421" s="117"/>
      <c r="K421" s="117"/>
      <c r="L421" s="117"/>
      <c r="M421" s="84"/>
      <c r="O421" s="75" t="str">
        <f t="shared" si="147"/>
        <v/>
      </c>
      <c r="P421" s="75" t="str">
        <f t="shared" si="148"/>
        <v/>
      </c>
      <c r="Q421" s="75" t="str">
        <f t="shared" si="149"/>
        <v/>
      </c>
      <c r="R421" s="75" t="str">
        <f t="shared" si="150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146"/>
        <v/>
      </c>
      <c r="E422" s="85"/>
      <c r="F422" s="80" t="str">
        <f t="shared" si="143"/>
        <v/>
      </c>
      <c r="G422" s="118"/>
      <c r="H422" s="80" t="str">
        <f t="shared" si="144"/>
        <v/>
      </c>
      <c r="I422" s="80" t="str">
        <f t="shared" si="145"/>
        <v/>
      </c>
      <c r="J422" s="117"/>
      <c r="K422" s="117"/>
      <c r="L422" s="117"/>
      <c r="M422" s="84"/>
      <c r="O422" s="75" t="str">
        <f t="shared" si="147"/>
        <v/>
      </c>
      <c r="P422" s="75" t="str">
        <f t="shared" si="148"/>
        <v/>
      </c>
      <c r="Q422" s="75" t="str">
        <f t="shared" si="149"/>
        <v/>
      </c>
      <c r="R422" s="75" t="str">
        <f t="shared" si="150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146"/>
        <v/>
      </c>
      <c r="E423" s="85"/>
      <c r="F423" s="80" t="str">
        <f t="shared" si="143"/>
        <v/>
      </c>
      <c r="G423" s="118"/>
      <c r="H423" s="80" t="str">
        <f t="shared" si="144"/>
        <v/>
      </c>
      <c r="I423" s="80" t="str">
        <f t="shared" si="145"/>
        <v/>
      </c>
      <c r="J423" s="117"/>
      <c r="K423" s="117"/>
      <c r="L423" s="117"/>
      <c r="M423" s="84"/>
      <c r="O423" s="75" t="str">
        <f t="shared" si="147"/>
        <v/>
      </c>
      <c r="P423" s="75" t="str">
        <f t="shared" si="148"/>
        <v/>
      </c>
      <c r="Q423" s="75" t="str">
        <f t="shared" si="149"/>
        <v/>
      </c>
      <c r="R423" s="75" t="str">
        <f t="shared" si="150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146"/>
        <v/>
      </c>
      <c r="E424" s="85"/>
      <c r="F424" s="80" t="str">
        <f t="shared" si="143"/>
        <v/>
      </c>
      <c r="G424" s="118"/>
      <c r="H424" s="80" t="str">
        <f t="shared" si="144"/>
        <v/>
      </c>
      <c r="I424" s="80" t="str">
        <f t="shared" si="145"/>
        <v/>
      </c>
      <c r="J424" s="117"/>
      <c r="K424" s="117"/>
      <c r="L424" s="117"/>
      <c r="M424" s="84"/>
      <c r="O424" s="75" t="str">
        <f t="shared" si="147"/>
        <v/>
      </c>
      <c r="P424" s="75" t="str">
        <f t="shared" si="148"/>
        <v/>
      </c>
      <c r="Q424" s="75" t="str">
        <f t="shared" si="149"/>
        <v/>
      </c>
      <c r="R424" s="75" t="str">
        <f t="shared" si="150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146"/>
        <v/>
      </c>
      <c r="E425" s="85"/>
      <c r="F425" s="80" t="str">
        <f t="shared" si="143"/>
        <v/>
      </c>
      <c r="G425" s="118"/>
      <c r="H425" s="80" t="str">
        <f t="shared" si="144"/>
        <v/>
      </c>
      <c r="I425" s="80" t="str">
        <f t="shared" si="145"/>
        <v/>
      </c>
      <c r="J425" s="117"/>
      <c r="K425" s="117"/>
      <c r="L425" s="117"/>
      <c r="M425" s="84"/>
      <c r="O425" s="75" t="str">
        <f t="shared" si="147"/>
        <v/>
      </c>
      <c r="P425" s="75" t="str">
        <f t="shared" si="148"/>
        <v/>
      </c>
      <c r="Q425" s="75" t="str">
        <f t="shared" si="149"/>
        <v/>
      </c>
      <c r="R425" s="75" t="str">
        <f t="shared" si="150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146"/>
        <v/>
      </c>
      <c r="E426" s="85"/>
      <c r="F426" s="80" t="str">
        <f t="shared" si="143"/>
        <v/>
      </c>
      <c r="G426" s="118"/>
      <c r="H426" s="80" t="str">
        <f t="shared" si="144"/>
        <v/>
      </c>
      <c r="I426" s="80" t="str">
        <f t="shared" si="145"/>
        <v/>
      </c>
      <c r="J426" s="117"/>
      <c r="K426" s="117"/>
      <c r="L426" s="117"/>
      <c r="M426" s="84"/>
      <c r="O426" s="75" t="str">
        <f t="shared" si="147"/>
        <v/>
      </c>
      <c r="P426" s="75" t="str">
        <f t="shared" si="148"/>
        <v/>
      </c>
      <c r="Q426" s="75" t="str">
        <f t="shared" si="149"/>
        <v/>
      </c>
      <c r="R426" s="75" t="str">
        <f t="shared" si="150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146"/>
        <v/>
      </c>
      <c r="E427" s="85"/>
      <c r="F427" s="80" t="str">
        <f t="shared" si="143"/>
        <v/>
      </c>
      <c r="G427" s="118"/>
      <c r="H427" s="80" t="str">
        <f t="shared" si="144"/>
        <v/>
      </c>
      <c r="I427" s="80" t="str">
        <f t="shared" si="145"/>
        <v/>
      </c>
      <c r="J427" s="117"/>
      <c r="K427" s="117"/>
      <c r="L427" s="117"/>
      <c r="M427" s="84"/>
      <c r="O427" s="75" t="str">
        <f t="shared" si="147"/>
        <v/>
      </c>
      <c r="P427" s="75" t="str">
        <f t="shared" si="148"/>
        <v/>
      </c>
      <c r="Q427" s="75" t="str">
        <f t="shared" si="149"/>
        <v/>
      </c>
      <c r="R427" s="75" t="str">
        <f t="shared" si="150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146"/>
        <v/>
      </c>
      <c r="E428" s="85"/>
      <c r="F428" s="80" t="str">
        <f t="shared" si="143"/>
        <v/>
      </c>
      <c r="G428" s="118"/>
      <c r="H428" s="80" t="str">
        <f t="shared" si="144"/>
        <v/>
      </c>
      <c r="I428" s="80" t="str">
        <f t="shared" si="145"/>
        <v/>
      </c>
      <c r="J428" s="117"/>
      <c r="K428" s="117"/>
      <c r="L428" s="117"/>
      <c r="M428" s="84"/>
      <c r="O428" s="75" t="str">
        <f t="shared" si="147"/>
        <v/>
      </c>
      <c r="P428" s="75" t="str">
        <f t="shared" si="148"/>
        <v/>
      </c>
      <c r="Q428" s="75" t="str">
        <f t="shared" si="149"/>
        <v/>
      </c>
      <c r="R428" s="75" t="str">
        <f t="shared" si="150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146"/>
        <v/>
      </c>
      <c r="E429" s="85"/>
      <c r="F429" s="80" t="str">
        <f t="shared" si="143"/>
        <v/>
      </c>
      <c r="G429" s="118"/>
      <c r="H429" s="80" t="str">
        <f t="shared" si="144"/>
        <v/>
      </c>
      <c r="I429" s="80" t="str">
        <f t="shared" si="145"/>
        <v/>
      </c>
      <c r="J429" s="117"/>
      <c r="K429" s="117"/>
      <c r="L429" s="117"/>
      <c r="M429" s="84"/>
      <c r="O429" s="75" t="str">
        <f t="shared" si="147"/>
        <v/>
      </c>
      <c r="P429" s="75" t="str">
        <f t="shared" si="148"/>
        <v/>
      </c>
      <c r="Q429" s="75" t="str">
        <f t="shared" si="149"/>
        <v/>
      </c>
      <c r="R429" s="75" t="str">
        <f t="shared" si="150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146"/>
        <v/>
      </c>
      <c r="E430" s="85"/>
      <c r="F430" s="80" t="str">
        <f t="shared" si="143"/>
        <v/>
      </c>
      <c r="G430" s="118"/>
      <c r="H430" s="80" t="str">
        <f t="shared" si="144"/>
        <v/>
      </c>
      <c r="I430" s="80" t="str">
        <f t="shared" si="145"/>
        <v/>
      </c>
      <c r="J430" s="117"/>
      <c r="K430" s="117"/>
      <c r="L430" s="117"/>
      <c r="M430" s="84"/>
      <c r="O430" s="75" t="str">
        <f t="shared" si="147"/>
        <v/>
      </c>
      <c r="P430" s="75" t="str">
        <f t="shared" si="148"/>
        <v/>
      </c>
      <c r="Q430" s="75" t="str">
        <f t="shared" si="149"/>
        <v/>
      </c>
      <c r="R430" s="75" t="str">
        <f t="shared" si="150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146"/>
        <v/>
      </c>
      <c r="E431" s="85"/>
      <c r="F431" s="80" t="str">
        <f t="shared" si="143"/>
        <v/>
      </c>
      <c r="G431" s="118"/>
      <c r="H431" s="80" t="str">
        <f t="shared" si="144"/>
        <v/>
      </c>
      <c r="I431" s="80" t="str">
        <f t="shared" si="145"/>
        <v/>
      </c>
      <c r="J431" s="117"/>
      <c r="K431" s="117"/>
      <c r="L431" s="117"/>
      <c r="M431" s="84"/>
      <c r="O431" s="75" t="str">
        <f t="shared" si="147"/>
        <v/>
      </c>
      <c r="P431" s="75" t="str">
        <f t="shared" si="148"/>
        <v/>
      </c>
      <c r="Q431" s="75" t="str">
        <f t="shared" si="149"/>
        <v/>
      </c>
      <c r="R431" s="75" t="str">
        <f t="shared" si="150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146"/>
        <v/>
      </c>
      <c r="E432" s="85"/>
      <c r="F432" s="80" t="str">
        <f t="shared" si="143"/>
        <v/>
      </c>
      <c r="G432" s="118"/>
      <c r="H432" s="80" t="str">
        <f t="shared" si="144"/>
        <v/>
      </c>
      <c r="I432" s="80" t="str">
        <f t="shared" si="145"/>
        <v/>
      </c>
      <c r="J432" s="117"/>
      <c r="K432" s="117"/>
      <c r="L432" s="117"/>
      <c r="M432" s="84"/>
      <c r="O432" s="75" t="str">
        <f t="shared" si="147"/>
        <v/>
      </c>
      <c r="P432" s="75" t="str">
        <f t="shared" si="148"/>
        <v/>
      </c>
      <c r="Q432" s="75" t="str">
        <f t="shared" si="149"/>
        <v/>
      </c>
      <c r="R432" s="75" t="str">
        <f t="shared" si="150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146"/>
        <v/>
      </c>
      <c r="E433" s="85"/>
      <c r="F433" s="80" t="str">
        <f t="shared" si="143"/>
        <v/>
      </c>
      <c r="G433" s="118"/>
      <c r="H433" s="80" t="str">
        <f t="shared" si="144"/>
        <v/>
      </c>
      <c r="I433" s="80" t="str">
        <f t="shared" si="145"/>
        <v/>
      </c>
      <c r="J433" s="117"/>
      <c r="K433" s="117"/>
      <c r="L433" s="117"/>
      <c r="M433" s="84"/>
      <c r="O433" s="75" t="str">
        <f t="shared" si="147"/>
        <v/>
      </c>
      <c r="P433" s="75" t="str">
        <f t="shared" si="148"/>
        <v/>
      </c>
      <c r="Q433" s="75" t="str">
        <f t="shared" si="149"/>
        <v/>
      </c>
      <c r="R433" s="75" t="str">
        <f t="shared" si="150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146"/>
        <v/>
      </c>
      <c r="E434" s="85"/>
      <c r="F434" s="80" t="str">
        <f t="shared" si="143"/>
        <v/>
      </c>
      <c r="G434" s="118"/>
      <c r="H434" s="80" t="str">
        <f t="shared" si="144"/>
        <v/>
      </c>
      <c r="I434" s="80" t="str">
        <f t="shared" si="145"/>
        <v/>
      </c>
      <c r="J434" s="117"/>
      <c r="K434" s="117"/>
      <c r="L434" s="117"/>
      <c r="M434" s="84"/>
      <c r="O434" s="75" t="str">
        <f t="shared" si="147"/>
        <v/>
      </c>
      <c r="P434" s="75" t="str">
        <f t="shared" si="148"/>
        <v/>
      </c>
      <c r="Q434" s="75" t="str">
        <f t="shared" si="149"/>
        <v/>
      </c>
      <c r="R434" s="75" t="str">
        <f t="shared" si="150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146"/>
        <v/>
      </c>
      <c r="E435" s="85"/>
      <c r="F435" s="80" t="str">
        <f t="shared" si="143"/>
        <v/>
      </c>
      <c r="G435" s="118"/>
      <c r="H435" s="80" t="str">
        <f t="shared" si="144"/>
        <v/>
      </c>
      <c r="I435" s="80" t="str">
        <f t="shared" si="145"/>
        <v/>
      </c>
      <c r="J435" s="117"/>
      <c r="K435" s="117"/>
      <c r="L435" s="117"/>
      <c r="M435" s="84"/>
      <c r="O435" s="75" t="str">
        <f t="shared" si="147"/>
        <v/>
      </c>
      <c r="P435" s="75" t="str">
        <f t="shared" si="148"/>
        <v/>
      </c>
      <c r="Q435" s="75" t="str">
        <f t="shared" si="149"/>
        <v/>
      </c>
      <c r="R435" s="75" t="str">
        <f t="shared" si="150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146"/>
        <v/>
      </c>
      <c r="E436" s="85"/>
      <c r="F436" s="80" t="str">
        <f t="shared" si="143"/>
        <v/>
      </c>
      <c r="G436" s="118"/>
      <c r="H436" s="80" t="str">
        <f t="shared" si="144"/>
        <v/>
      </c>
      <c r="I436" s="80" t="str">
        <f t="shared" si="145"/>
        <v/>
      </c>
      <c r="J436" s="117"/>
      <c r="K436" s="117"/>
      <c r="L436" s="117"/>
      <c r="M436" s="84"/>
      <c r="O436" s="75" t="str">
        <f t="shared" si="147"/>
        <v/>
      </c>
      <c r="P436" s="75" t="str">
        <f t="shared" si="148"/>
        <v/>
      </c>
      <c r="Q436" s="75" t="str">
        <f t="shared" si="149"/>
        <v/>
      </c>
      <c r="R436" s="75" t="str">
        <f t="shared" si="150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146"/>
        <v/>
      </c>
      <c r="E437" s="85"/>
      <c r="F437" s="80" t="str">
        <f t="shared" si="143"/>
        <v/>
      </c>
      <c r="G437" s="118"/>
      <c r="H437" s="80" t="str">
        <f t="shared" si="144"/>
        <v/>
      </c>
      <c r="I437" s="80" t="str">
        <f t="shared" si="145"/>
        <v/>
      </c>
      <c r="J437" s="117"/>
      <c r="K437" s="117"/>
      <c r="L437" s="117"/>
      <c r="M437" s="84"/>
      <c r="O437" s="75" t="str">
        <f t="shared" si="147"/>
        <v/>
      </c>
      <c r="P437" s="75" t="str">
        <f t="shared" si="148"/>
        <v/>
      </c>
      <c r="Q437" s="75" t="str">
        <f t="shared" si="149"/>
        <v/>
      </c>
      <c r="R437" s="75" t="str">
        <f t="shared" si="150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146"/>
        <v/>
      </c>
      <c r="E438" s="85"/>
      <c r="F438" s="80" t="str">
        <f t="shared" si="143"/>
        <v/>
      </c>
      <c r="G438" s="118"/>
      <c r="H438" s="80" t="str">
        <f t="shared" si="144"/>
        <v/>
      </c>
      <c r="I438" s="80" t="str">
        <f t="shared" si="145"/>
        <v/>
      </c>
      <c r="J438" s="117"/>
      <c r="K438" s="117"/>
      <c r="L438" s="117"/>
      <c r="M438" s="84"/>
      <c r="O438" s="75" t="str">
        <f t="shared" si="147"/>
        <v/>
      </c>
      <c r="P438" s="75" t="str">
        <f t="shared" si="148"/>
        <v/>
      </c>
      <c r="Q438" s="75" t="str">
        <f t="shared" si="149"/>
        <v/>
      </c>
      <c r="R438" s="75" t="str">
        <f t="shared" si="150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146"/>
        <v/>
      </c>
      <c r="E439" s="85"/>
      <c r="F439" s="80" t="str">
        <f t="shared" si="143"/>
        <v/>
      </c>
      <c r="G439" s="118"/>
      <c r="H439" s="80" t="str">
        <f t="shared" si="144"/>
        <v/>
      </c>
      <c r="I439" s="80" t="str">
        <f t="shared" si="145"/>
        <v/>
      </c>
      <c r="J439" s="117"/>
      <c r="K439" s="117"/>
      <c r="L439" s="117"/>
      <c r="M439" s="84"/>
      <c r="O439" s="75" t="str">
        <f t="shared" si="147"/>
        <v/>
      </c>
      <c r="P439" s="75" t="str">
        <f t="shared" si="148"/>
        <v/>
      </c>
      <c r="Q439" s="75" t="str">
        <f t="shared" si="149"/>
        <v/>
      </c>
      <c r="R439" s="75" t="str">
        <f t="shared" si="150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146"/>
        <v/>
      </c>
      <c r="E440" s="85"/>
      <c r="F440" s="80" t="str">
        <f t="shared" si="143"/>
        <v/>
      </c>
      <c r="G440" s="118"/>
      <c r="H440" s="80" t="str">
        <f t="shared" si="144"/>
        <v/>
      </c>
      <c r="I440" s="80" t="str">
        <f t="shared" si="145"/>
        <v/>
      </c>
      <c r="J440" s="117"/>
      <c r="K440" s="117"/>
      <c r="L440" s="117"/>
      <c r="M440" s="84"/>
      <c r="O440" s="75" t="str">
        <f t="shared" si="147"/>
        <v/>
      </c>
      <c r="P440" s="75" t="str">
        <f t="shared" si="148"/>
        <v/>
      </c>
      <c r="Q440" s="75" t="str">
        <f t="shared" si="149"/>
        <v/>
      </c>
      <c r="R440" s="75" t="str">
        <f t="shared" si="150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146"/>
        <v/>
      </c>
      <c r="E441" s="85"/>
      <c r="F441" s="80" t="str">
        <f t="shared" si="143"/>
        <v/>
      </c>
      <c r="G441" s="118"/>
      <c r="H441" s="80" t="str">
        <f t="shared" si="144"/>
        <v/>
      </c>
      <c r="I441" s="80" t="str">
        <f t="shared" si="145"/>
        <v/>
      </c>
      <c r="J441" s="117"/>
      <c r="K441" s="117"/>
      <c r="L441" s="117"/>
      <c r="M441" s="84"/>
      <c r="O441" s="75" t="str">
        <f t="shared" si="147"/>
        <v/>
      </c>
      <c r="P441" s="75" t="str">
        <f t="shared" si="148"/>
        <v/>
      </c>
      <c r="Q441" s="75" t="str">
        <f t="shared" si="149"/>
        <v/>
      </c>
      <c r="R441" s="75" t="str">
        <f t="shared" si="150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146"/>
        <v/>
      </c>
      <c r="E442" s="85"/>
      <c r="F442" s="80" t="str">
        <f t="shared" si="143"/>
        <v/>
      </c>
      <c r="G442" s="118"/>
      <c r="H442" s="80" t="str">
        <f t="shared" si="144"/>
        <v/>
      </c>
      <c r="I442" s="80" t="str">
        <f t="shared" si="145"/>
        <v/>
      </c>
      <c r="J442" s="117"/>
      <c r="K442" s="117"/>
      <c r="L442" s="117"/>
      <c r="M442" s="84"/>
      <c r="O442" s="75" t="str">
        <f t="shared" si="147"/>
        <v/>
      </c>
      <c r="P442" s="75" t="str">
        <f t="shared" si="148"/>
        <v/>
      </c>
      <c r="Q442" s="75" t="str">
        <f t="shared" si="149"/>
        <v/>
      </c>
      <c r="R442" s="75" t="str">
        <f t="shared" si="150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146"/>
        <v/>
      </c>
      <c r="E443" s="85"/>
      <c r="F443" s="80" t="str">
        <f t="shared" si="143"/>
        <v/>
      </c>
      <c r="G443" s="118"/>
      <c r="H443" s="80" t="str">
        <f t="shared" si="144"/>
        <v/>
      </c>
      <c r="I443" s="80" t="str">
        <f t="shared" si="145"/>
        <v/>
      </c>
      <c r="J443" s="117"/>
      <c r="K443" s="117"/>
      <c r="L443" s="117"/>
      <c r="M443" s="84"/>
      <c r="O443" s="75" t="str">
        <f t="shared" si="147"/>
        <v/>
      </c>
      <c r="P443" s="75" t="str">
        <f t="shared" si="148"/>
        <v/>
      </c>
      <c r="Q443" s="75" t="str">
        <f t="shared" si="149"/>
        <v/>
      </c>
      <c r="R443" s="75" t="str">
        <f t="shared" si="150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146"/>
        <v/>
      </c>
      <c r="E444" s="85"/>
      <c r="F444" s="80" t="str">
        <f t="shared" si="143"/>
        <v/>
      </c>
      <c r="G444" s="118"/>
      <c r="H444" s="80" t="str">
        <f t="shared" si="144"/>
        <v/>
      </c>
      <c r="I444" s="80" t="str">
        <f t="shared" si="145"/>
        <v/>
      </c>
      <c r="J444" s="117"/>
      <c r="K444" s="117"/>
      <c r="L444" s="117"/>
      <c r="M444" s="84"/>
      <c r="O444" s="75" t="str">
        <f t="shared" si="147"/>
        <v/>
      </c>
      <c r="P444" s="75" t="str">
        <f t="shared" si="148"/>
        <v/>
      </c>
      <c r="Q444" s="75" t="str">
        <f t="shared" si="149"/>
        <v/>
      </c>
      <c r="R444" s="75" t="str">
        <f t="shared" si="150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146"/>
        <v/>
      </c>
      <c r="E445" s="85"/>
      <c r="F445" s="80" t="str">
        <f t="shared" si="143"/>
        <v/>
      </c>
      <c r="G445" s="118"/>
      <c r="H445" s="80" t="str">
        <f t="shared" si="144"/>
        <v/>
      </c>
      <c r="I445" s="80" t="str">
        <f t="shared" si="145"/>
        <v/>
      </c>
      <c r="J445" s="117"/>
      <c r="K445" s="117"/>
      <c r="L445" s="117"/>
      <c r="M445" s="84"/>
      <c r="O445" s="75" t="str">
        <f t="shared" si="147"/>
        <v/>
      </c>
      <c r="P445" s="75" t="str">
        <f t="shared" si="148"/>
        <v/>
      </c>
      <c r="Q445" s="75" t="str">
        <f t="shared" si="149"/>
        <v/>
      </c>
      <c r="R445" s="75" t="str">
        <f t="shared" si="150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146"/>
        <v/>
      </c>
      <c r="E446" s="85"/>
      <c r="F446" s="80" t="str">
        <f t="shared" si="143"/>
        <v/>
      </c>
      <c r="G446" s="118"/>
      <c r="H446" s="80" t="str">
        <f t="shared" si="144"/>
        <v/>
      </c>
      <c r="I446" s="80" t="str">
        <f t="shared" si="145"/>
        <v/>
      </c>
      <c r="J446" s="117"/>
      <c r="K446" s="117"/>
      <c r="L446" s="117"/>
      <c r="M446" s="84"/>
      <c r="O446" s="75" t="str">
        <f t="shared" si="147"/>
        <v/>
      </c>
      <c r="P446" s="75" t="str">
        <f t="shared" si="148"/>
        <v/>
      </c>
      <c r="Q446" s="75" t="str">
        <f t="shared" si="149"/>
        <v/>
      </c>
      <c r="R446" s="75" t="str">
        <f t="shared" si="150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146"/>
        <v/>
      </c>
      <c r="E447" s="85"/>
      <c r="F447" s="80" t="str">
        <f t="shared" si="143"/>
        <v/>
      </c>
      <c r="G447" s="118"/>
      <c r="H447" s="80" t="str">
        <f t="shared" si="144"/>
        <v/>
      </c>
      <c r="I447" s="80" t="str">
        <f t="shared" si="145"/>
        <v/>
      </c>
      <c r="J447" s="117"/>
      <c r="K447" s="117"/>
      <c r="L447" s="117"/>
      <c r="M447" s="84"/>
      <c r="O447" s="75" t="str">
        <f t="shared" si="147"/>
        <v/>
      </c>
      <c r="P447" s="75" t="str">
        <f t="shared" si="148"/>
        <v/>
      </c>
      <c r="Q447" s="75" t="str">
        <f t="shared" si="149"/>
        <v/>
      </c>
      <c r="R447" s="75" t="str">
        <f t="shared" si="150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146"/>
        <v/>
      </c>
      <c r="E448" s="85"/>
      <c r="F448" s="80" t="str">
        <f t="shared" si="143"/>
        <v/>
      </c>
      <c r="G448" s="118"/>
      <c r="H448" s="80" t="str">
        <f t="shared" si="144"/>
        <v/>
      </c>
      <c r="I448" s="80" t="str">
        <f t="shared" si="145"/>
        <v/>
      </c>
      <c r="J448" s="117"/>
      <c r="K448" s="117"/>
      <c r="L448" s="117"/>
      <c r="M448" s="84"/>
      <c r="O448" s="75" t="str">
        <f t="shared" si="147"/>
        <v/>
      </c>
      <c r="P448" s="75" t="str">
        <f t="shared" si="148"/>
        <v/>
      </c>
      <c r="Q448" s="75" t="str">
        <f t="shared" si="149"/>
        <v/>
      </c>
      <c r="R448" s="75" t="str">
        <f t="shared" si="150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146"/>
        <v/>
      </c>
      <c r="E449" s="85"/>
      <c r="F449" s="80" t="str">
        <f t="shared" si="143"/>
        <v/>
      </c>
      <c r="G449" s="118"/>
      <c r="H449" s="80" t="str">
        <f t="shared" si="144"/>
        <v/>
      </c>
      <c r="I449" s="80" t="str">
        <f t="shared" si="145"/>
        <v/>
      </c>
      <c r="J449" s="117"/>
      <c r="K449" s="117"/>
      <c r="L449" s="117"/>
      <c r="M449" s="84"/>
      <c r="O449" s="75" t="str">
        <f t="shared" si="147"/>
        <v/>
      </c>
      <c r="P449" s="75" t="str">
        <f t="shared" si="148"/>
        <v/>
      </c>
      <c r="Q449" s="75" t="str">
        <f t="shared" si="149"/>
        <v/>
      </c>
      <c r="R449" s="75" t="str">
        <f t="shared" si="150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146"/>
        <v/>
      </c>
      <c r="E450" s="85"/>
      <c r="F450" s="80" t="str">
        <f t="shared" si="143"/>
        <v/>
      </c>
      <c r="G450" s="118"/>
      <c r="H450" s="80" t="str">
        <f t="shared" si="144"/>
        <v/>
      </c>
      <c r="I450" s="80" t="str">
        <f t="shared" si="145"/>
        <v/>
      </c>
      <c r="J450" s="117"/>
      <c r="K450" s="117"/>
      <c r="L450" s="117"/>
      <c r="M450" s="84"/>
      <c r="O450" s="75" t="str">
        <f t="shared" si="147"/>
        <v/>
      </c>
      <c r="P450" s="75" t="str">
        <f t="shared" si="148"/>
        <v/>
      </c>
      <c r="Q450" s="75" t="str">
        <f t="shared" si="149"/>
        <v/>
      </c>
      <c r="R450" s="75" t="str">
        <f t="shared" si="150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146"/>
        <v/>
      </c>
      <c r="E451" s="85"/>
      <c r="F451" s="80" t="str">
        <f t="shared" si="143"/>
        <v/>
      </c>
      <c r="G451" s="118"/>
      <c r="H451" s="80" t="str">
        <f t="shared" si="144"/>
        <v/>
      </c>
      <c r="I451" s="80" t="str">
        <f t="shared" si="145"/>
        <v/>
      </c>
      <c r="J451" s="117"/>
      <c r="K451" s="117"/>
      <c r="L451" s="117"/>
      <c r="M451" s="84"/>
      <c r="O451" s="75" t="str">
        <f t="shared" si="147"/>
        <v/>
      </c>
      <c r="P451" s="75" t="str">
        <f t="shared" si="148"/>
        <v/>
      </c>
      <c r="Q451" s="75" t="str">
        <f t="shared" si="149"/>
        <v/>
      </c>
      <c r="R451" s="75" t="str">
        <f t="shared" si="150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146"/>
        <v/>
      </c>
      <c r="E452" s="85"/>
      <c r="F452" s="80" t="str">
        <f t="shared" si="143"/>
        <v/>
      </c>
      <c r="G452" s="118"/>
      <c r="H452" s="80" t="str">
        <f t="shared" si="144"/>
        <v/>
      </c>
      <c r="I452" s="80" t="str">
        <f t="shared" si="145"/>
        <v/>
      </c>
      <c r="J452" s="117"/>
      <c r="K452" s="117"/>
      <c r="L452" s="117"/>
      <c r="M452" s="84"/>
      <c r="O452" s="75" t="str">
        <f t="shared" si="147"/>
        <v/>
      </c>
      <c r="P452" s="75" t="str">
        <f t="shared" si="148"/>
        <v/>
      </c>
      <c r="Q452" s="75" t="str">
        <f t="shared" si="149"/>
        <v/>
      </c>
      <c r="R452" s="75" t="str">
        <f t="shared" si="150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146"/>
        <v/>
      </c>
      <c r="E453" s="85"/>
      <c r="F453" s="80" t="str">
        <f t="shared" ref="F453:F516" si="151">IFERROR(VLOOKUP(E453,$V$5:$X$203,2,FALSE),"")</f>
        <v/>
      </c>
      <c r="G453" s="118"/>
      <c r="H453" s="80" t="str">
        <f t="shared" ref="H453:H516" si="152">IFERROR(VLOOKUP(G453,$AB$7:$AC$401,2,FALSE),"")</f>
        <v/>
      </c>
      <c r="I453" s="80" t="str">
        <f t="shared" ref="I453:I516" si="153">IFERROR(VLOOKUP(G453,$AB$7:$AF$401,3,FALSE),"")</f>
        <v/>
      </c>
      <c r="J453" s="117"/>
      <c r="K453" s="117"/>
      <c r="L453" s="117"/>
      <c r="M453" s="84"/>
      <c r="O453" s="75" t="str">
        <f t="shared" si="147"/>
        <v/>
      </c>
      <c r="P453" s="75" t="str">
        <f t="shared" si="148"/>
        <v/>
      </c>
      <c r="Q453" s="75" t="str">
        <f t="shared" si="149"/>
        <v/>
      </c>
      <c r="R453" s="75" t="str">
        <f t="shared" si="150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146"/>
        <v/>
      </c>
      <c r="E454" s="85"/>
      <c r="F454" s="80" t="str">
        <f t="shared" si="151"/>
        <v/>
      </c>
      <c r="G454" s="118"/>
      <c r="H454" s="80" t="str">
        <f t="shared" si="152"/>
        <v/>
      </c>
      <c r="I454" s="80" t="str">
        <f t="shared" si="153"/>
        <v/>
      </c>
      <c r="J454" s="117"/>
      <c r="K454" s="117"/>
      <c r="L454" s="117"/>
      <c r="M454" s="84"/>
      <c r="O454" s="75" t="str">
        <f t="shared" si="147"/>
        <v/>
      </c>
      <c r="P454" s="75" t="str">
        <f t="shared" si="148"/>
        <v/>
      </c>
      <c r="Q454" s="75" t="str">
        <f t="shared" si="149"/>
        <v/>
      </c>
      <c r="R454" s="75" t="str">
        <f t="shared" si="150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146"/>
        <v/>
      </c>
      <c r="E455" s="85"/>
      <c r="F455" s="80" t="str">
        <f t="shared" si="151"/>
        <v/>
      </c>
      <c r="G455" s="118"/>
      <c r="H455" s="80" t="str">
        <f t="shared" si="152"/>
        <v/>
      </c>
      <c r="I455" s="80" t="str">
        <f t="shared" si="153"/>
        <v/>
      </c>
      <c r="J455" s="117"/>
      <c r="K455" s="117"/>
      <c r="L455" s="117"/>
      <c r="M455" s="84"/>
      <c r="O455" s="75" t="str">
        <f t="shared" si="147"/>
        <v/>
      </c>
      <c r="P455" s="75" t="str">
        <f t="shared" si="148"/>
        <v/>
      </c>
      <c r="Q455" s="75" t="str">
        <f t="shared" si="149"/>
        <v/>
      </c>
      <c r="R455" s="75" t="str">
        <f t="shared" si="150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146"/>
        <v/>
      </c>
      <c r="E456" s="85"/>
      <c r="F456" s="80" t="str">
        <f t="shared" si="151"/>
        <v/>
      </c>
      <c r="G456" s="118"/>
      <c r="H456" s="80" t="str">
        <f t="shared" si="152"/>
        <v/>
      </c>
      <c r="I456" s="80" t="str">
        <f t="shared" si="153"/>
        <v/>
      </c>
      <c r="J456" s="117"/>
      <c r="K456" s="117"/>
      <c r="L456" s="117"/>
      <c r="M456" s="84"/>
      <c r="O456" s="75" t="str">
        <f t="shared" si="147"/>
        <v/>
      </c>
      <c r="P456" s="75" t="str">
        <f t="shared" si="148"/>
        <v/>
      </c>
      <c r="Q456" s="75" t="str">
        <f t="shared" si="149"/>
        <v/>
      </c>
      <c r="R456" s="75" t="str">
        <f t="shared" si="150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146"/>
        <v/>
      </c>
      <c r="E457" s="85"/>
      <c r="F457" s="80" t="str">
        <f t="shared" si="151"/>
        <v/>
      </c>
      <c r="G457" s="118"/>
      <c r="H457" s="80" t="str">
        <f t="shared" si="152"/>
        <v/>
      </c>
      <c r="I457" s="80" t="str">
        <f t="shared" si="153"/>
        <v/>
      </c>
      <c r="J457" s="117"/>
      <c r="K457" s="117"/>
      <c r="L457" s="117"/>
      <c r="M457" s="84"/>
      <c r="O457" s="75" t="str">
        <f t="shared" si="147"/>
        <v/>
      </c>
      <c r="P457" s="75" t="str">
        <f t="shared" si="148"/>
        <v/>
      </c>
      <c r="Q457" s="75" t="str">
        <f t="shared" si="149"/>
        <v/>
      </c>
      <c r="R457" s="75" t="str">
        <f t="shared" si="150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146"/>
        <v/>
      </c>
      <c r="E458" s="85"/>
      <c r="F458" s="80" t="str">
        <f t="shared" si="151"/>
        <v/>
      </c>
      <c r="G458" s="118"/>
      <c r="H458" s="80" t="str">
        <f t="shared" si="152"/>
        <v/>
      </c>
      <c r="I458" s="80" t="str">
        <f t="shared" si="153"/>
        <v/>
      </c>
      <c r="J458" s="117"/>
      <c r="K458" s="117"/>
      <c r="L458" s="117"/>
      <c r="M458" s="84"/>
      <c r="O458" s="75" t="str">
        <f t="shared" si="147"/>
        <v/>
      </c>
      <c r="P458" s="75" t="str">
        <f t="shared" si="148"/>
        <v/>
      </c>
      <c r="Q458" s="75" t="str">
        <f t="shared" si="149"/>
        <v/>
      </c>
      <c r="R458" s="75" t="str">
        <f t="shared" si="150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ref="D459:D522" si="154">IFERROR(VLOOKUP(C459,$S$7:$T$48,2,FALSE),"")</f>
        <v/>
      </c>
      <c r="E459" s="85"/>
      <c r="F459" s="80" t="str">
        <f t="shared" si="151"/>
        <v/>
      </c>
      <c r="G459" s="118"/>
      <c r="H459" s="80" t="str">
        <f t="shared" si="152"/>
        <v/>
      </c>
      <c r="I459" s="80" t="str">
        <f t="shared" si="153"/>
        <v/>
      </c>
      <c r="J459" s="117"/>
      <c r="K459" s="117"/>
      <c r="L459" s="117"/>
      <c r="M459" s="84"/>
      <c r="O459" s="75" t="str">
        <f t="shared" si="147"/>
        <v/>
      </c>
      <c r="P459" s="75" t="str">
        <f t="shared" si="148"/>
        <v/>
      </c>
      <c r="Q459" s="75" t="str">
        <f t="shared" si="149"/>
        <v/>
      </c>
      <c r="R459" s="75" t="str">
        <f t="shared" si="150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154"/>
        <v/>
      </c>
      <c r="E460" s="85"/>
      <c r="F460" s="80" t="str">
        <f t="shared" si="151"/>
        <v/>
      </c>
      <c r="G460" s="118"/>
      <c r="H460" s="80" t="str">
        <f t="shared" si="152"/>
        <v/>
      </c>
      <c r="I460" s="80" t="str">
        <f t="shared" si="153"/>
        <v/>
      </c>
      <c r="J460" s="117"/>
      <c r="K460" s="117"/>
      <c r="L460" s="117"/>
      <c r="M460" s="84"/>
      <c r="O460" s="75" t="str">
        <f t="shared" si="147"/>
        <v/>
      </c>
      <c r="P460" s="75" t="str">
        <f t="shared" si="148"/>
        <v/>
      </c>
      <c r="Q460" s="75" t="str">
        <f t="shared" si="149"/>
        <v/>
      </c>
      <c r="R460" s="75" t="str">
        <f t="shared" si="150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154"/>
        <v/>
      </c>
      <c r="E461" s="85"/>
      <c r="F461" s="80" t="str">
        <f t="shared" si="151"/>
        <v/>
      </c>
      <c r="G461" s="118"/>
      <c r="H461" s="80" t="str">
        <f t="shared" si="152"/>
        <v/>
      </c>
      <c r="I461" s="80" t="str">
        <f t="shared" si="153"/>
        <v/>
      </c>
      <c r="J461" s="117"/>
      <c r="K461" s="117"/>
      <c r="L461" s="117"/>
      <c r="M461" s="84"/>
      <c r="O461" s="75" t="str">
        <f t="shared" si="147"/>
        <v/>
      </c>
      <c r="P461" s="75" t="str">
        <f t="shared" si="148"/>
        <v/>
      </c>
      <c r="Q461" s="75" t="str">
        <f t="shared" si="149"/>
        <v/>
      </c>
      <c r="R461" s="75" t="str">
        <f t="shared" si="150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154"/>
        <v/>
      </c>
      <c r="E462" s="85"/>
      <c r="F462" s="80" t="str">
        <f t="shared" si="151"/>
        <v/>
      </c>
      <c r="G462" s="118"/>
      <c r="H462" s="80" t="str">
        <f t="shared" si="152"/>
        <v/>
      </c>
      <c r="I462" s="80" t="str">
        <f t="shared" si="153"/>
        <v/>
      </c>
      <c r="J462" s="117"/>
      <c r="K462" s="117"/>
      <c r="L462" s="117"/>
      <c r="M462" s="84"/>
      <c r="O462" s="75" t="str">
        <f t="shared" ref="O462:O525" si="155">LEFT(E462,3)</f>
        <v/>
      </c>
      <c r="P462" s="75" t="str">
        <f t="shared" ref="P462:P525" si="156">LEFT(E462,2)</f>
        <v/>
      </c>
      <c r="Q462" s="75" t="str">
        <f t="shared" ref="Q462:Q525" si="157">LEFT(C462,3)</f>
        <v/>
      </c>
      <c r="R462" s="75" t="str">
        <f t="shared" ref="R462:R525" si="158">MID(I462,2,2)</f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154"/>
        <v/>
      </c>
      <c r="E463" s="85"/>
      <c r="F463" s="80" t="str">
        <f t="shared" si="151"/>
        <v/>
      </c>
      <c r="G463" s="118"/>
      <c r="H463" s="80" t="str">
        <f t="shared" si="152"/>
        <v/>
      </c>
      <c r="I463" s="80" t="str">
        <f t="shared" si="153"/>
        <v/>
      </c>
      <c r="J463" s="117"/>
      <c r="K463" s="117"/>
      <c r="L463" s="117"/>
      <c r="M463" s="84"/>
      <c r="O463" s="75" t="str">
        <f t="shared" si="155"/>
        <v/>
      </c>
      <c r="P463" s="75" t="str">
        <f t="shared" si="156"/>
        <v/>
      </c>
      <c r="Q463" s="75" t="str">
        <f t="shared" si="157"/>
        <v/>
      </c>
      <c r="R463" s="75" t="str">
        <f t="shared" si="158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154"/>
        <v/>
      </c>
      <c r="E464" s="85"/>
      <c r="F464" s="80" t="str">
        <f t="shared" si="151"/>
        <v/>
      </c>
      <c r="G464" s="118"/>
      <c r="H464" s="80" t="str">
        <f t="shared" si="152"/>
        <v/>
      </c>
      <c r="I464" s="80" t="str">
        <f t="shared" si="153"/>
        <v/>
      </c>
      <c r="J464" s="117"/>
      <c r="K464" s="117"/>
      <c r="L464" s="117"/>
      <c r="M464" s="84"/>
      <c r="O464" s="75" t="str">
        <f t="shared" si="155"/>
        <v/>
      </c>
      <c r="P464" s="75" t="str">
        <f t="shared" si="156"/>
        <v/>
      </c>
      <c r="Q464" s="75" t="str">
        <f t="shared" si="157"/>
        <v/>
      </c>
      <c r="R464" s="75" t="str">
        <f t="shared" si="158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154"/>
        <v/>
      </c>
      <c r="E465" s="85"/>
      <c r="F465" s="80" t="str">
        <f t="shared" si="151"/>
        <v/>
      </c>
      <c r="G465" s="118"/>
      <c r="H465" s="80" t="str">
        <f t="shared" si="152"/>
        <v/>
      </c>
      <c r="I465" s="80" t="str">
        <f t="shared" si="153"/>
        <v/>
      </c>
      <c r="J465" s="117"/>
      <c r="K465" s="117"/>
      <c r="L465" s="117"/>
      <c r="M465" s="84"/>
      <c r="O465" s="75" t="str">
        <f t="shared" si="155"/>
        <v/>
      </c>
      <c r="P465" s="75" t="str">
        <f t="shared" si="156"/>
        <v/>
      </c>
      <c r="Q465" s="75" t="str">
        <f t="shared" si="157"/>
        <v/>
      </c>
      <c r="R465" s="75" t="str">
        <f t="shared" si="158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154"/>
        <v/>
      </c>
      <c r="E466" s="85"/>
      <c r="F466" s="80" t="str">
        <f t="shared" si="151"/>
        <v/>
      </c>
      <c r="G466" s="118"/>
      <c r="H466" s="80" t="str">
        <f t="shared" si="152"/>
        <v/>
      </c>
      <c r="I466" s="80" t="str">
        <f t="shared" si="153"/>
        <v/>
      </c>
      <c r="J466" s="117"/>
      <c r="K466" s="117"/>
      <c r="L466" s="117"/>
      <c r="M466" s="84"/>
      <c r="O466" s="75" t="str">
        <f t="shared" si="155"/>
        <v/>
      </c>
      <c r="P466" s="75" t="str">
        <f t="shared" si="156"/>
        <v/>
      </c>
      <c r="Q466" s="75" t="str">
        <f t="shared" si="157"/>
        <v/>
      </c>
      <c r="R466" s="75" t="str">
        <f t="shared" si="158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154"/>
        <v/>
      </c>
      <c r="E467" s="85"/>
      <c r="F467" s="80" t="str">
        <f t="shared" si="151"/>
        <v/>
      </c>
      <c r="G467" s="118"/>
      <c r="H467" s="80" t="str">
        <f t="shared" si="152"/>
        <v/>
      </c>
      <c r="I467" s="80" t="str">
        <f t="shared" si="153"/>
        <v/>
      </c>
      <c r="J467" s="117"/>
      <c r="K467" s="117"/>
      <c r="L467" s="117"/>
      <c r="M467" s="84"/>
      <c r="O467" s="75" t="str">
        <f t="shared" si="155"/>
        <v/>
      </c>
      <c r="P467" s="75" t="str">
        <f t="shared" si="156"/>
        <v/>
      </c>
      <c r="Q467" s="75" t="str">
        <f t="shared" si="157"/>
        <v/>
      </c>
      <c r="R467" s="75" t="str">
        <f t="shared" si="158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154"/>
        <v/>
      </c>
      <c r="E468" s="85"/>
      <c r="F468" s="80" t="str">
        <f t="shared" si="151"/>
        <v/>
      </c>
      <c r="G468" s="118"/>
      <c r="H468" s="80" t="str">
        <f t="shared" si="152"/>
        <v/>
      </c>
      <c r="I468" s="80" t="str">
        <f t="shared" si="153"/>
        <v/>
      </c>
      <c r="J468" s="117"/>
      <c r="K468" s="117"/>
      <c r="L468" s="117"/>
      <c r="M468" s="84"/>
      <c r="O468" s="75" t="str">
        <f t="shared" si="155"/>
        <v/>
      </c>
      <c r="P468" s="75" t="str">
        <f t="shared" si="156"/>
        <v/>
      </c>
      <c r="Q468" s="75" t="str">
        <f t="shared" si="157"/>
        <v/>
      </c>
      <c r="R468" s="75" t="str">
        <f t="shared" si="158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154"/>
        <v/>
      </c>
      <c r="E469" s="85"/>
      <c r="F469" s="80" t="str">
        <f t="shared" si="151"/>
        <v/>
      </c>
      <c r="G469" s="118"/>
      <c r="H469" s="80" t="str">
        <f t="shared" si="152"/>
        <v/>
      </c>
      <c r="I469" s="80" t="str">
        <f t="shared" si="153"/>
        <v/>
      </c>
      <c r="J469" s="117"/>
      <c r="K469" s="117"/>
      <c r="L469" s="117"/>
      <c r="M469" s="84"/>
      <c r="O469" s="75" t="str">
        <f t="shared" si="155"/>
        <v/>
      </c>
      <c r="P469" s="75" t="str">
        <f t="shared" si="156"/>
        <v/>
      </c>
      <c r="Q469" s="75" t="str">
        <f t="shared" si="157"/>
        <v/>
      </c>
      <c r="R469" s="75" t="str">
        <f t="shared" si="158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154"/>
        <v/>
      </c>
      <c r="E470" s="85"/>
      <c r="F470" s="80" t="str">
        <f t="shared" si="151"/>
        <v/>
      </c>
      <c r="G470" s="118"/>
      <c r="H470" s="80" t="str">
        <f t="shared" si="152"/>
        <v/>
      </c>
      <c r="I470" s="80" t="str">
        <f t="shared" si="153"/>
        <v/>
      </c>
      <c r="J470" s="117"/>
      <c r="K470" s="117"/>
      <c r="L470" s="117"/>
      <c r="M470" s="84"/>
      <c r="O470" s="75" t="str">
        <f t="shared" si="155"/>
        <v/>
      </c>
      <c r="P470" s="75" t="str">
        <f t="shared" si="156"/>
        <v/>
      </c>
      <c r="Q470" s="75" t="str">
        <f t="shared" si="157"/>
        <v/>
      </c>
      <c r="R470" s="75" t="str">
        <f t="shared" si="158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154"/>
        <v/>
      </c>
      <c r="E471" s="85"/>
      <c r="F471" s="80" t="str">
        <f t="shared" si="151"/>
        <v/>
      </c>
      <c r="G471" s="118"/>
      <c r="H471" s="80" t="str">
        <f t="shared" si="152"/>
        <v/>
      </c>
      <c r="I471" s="80" t="str">
        <f t="shared" si="153"/>
        <v/>
      </c>
      <c r="J471" s="117"/>
      <c r="K471" s="117"/>
      <c r="L471" s="117"/>
      <c r="M471" s="84"/>
      <c r="O471" s="75" t="str">
        <f t="shared" si="155"/>
        <v/>
      </c>
      <c r="P471" s="75" t="str">
        <f t="shared" si="156"/>
        <v/>
      </c>
      <c r="Q471" s="75" t="str">
        <f t="shared" si="157"/>
        <v/>
      </c>
      <c r="R471" s="75" t="str">
        <f t="shared" si="158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154"/>
        <v/>
      </c>
      <c r="E472" s="85"/>
      <c r="F472" s="80" t="str">
        <f t="shared" si="151"/>
        <v/>
      </c>
      <c r="G472" s="118"/>
      <c r="H472" s="80" t="str">
        <f t="shared" si="152"/>
        <v/>
      </c>
      <c r="I472" s="80" t="str">
        <f t="shared" si="153"/>
        <v/>
      </c>
      <c r="J472" s="117"/>
      <c r="K472" s="117"/>
      <c r="L472" s="117"/>
      <c r="M472" s="84"/>
      <c r="O472" s="75" t="str">
        <f t="shared" si="155"/>
        <v/>
      </c>
      <c r="P472" s="75" t="str">
        <f t="shared" si="156"/>
        <v/>
      </c>
      <c r="Q472" s="75" t="str">
        <f t="shared" si="157"/>
        <v/>
      </c>
      <c r="R472" s="75" t="str">
        <f t="shared" si="158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154"/>
        <v/>
      </c>
      <c r="E473" s="85"/>
      <c r="F473" s="80" t="str">
        <f t="shared" si="151"/>
        <v/>
      </c>
      <c r="G473" s="118"/>
      <c r="H473" s="80" t="str">
        <f t="shared" si="152"/>
        <v/>
      </c>
      <c r="I473" s="80" t="str">
        <f t="shared" si="153"/>
        <v/>
      </c>
      <c r="J473" s="117"/>
      <c r="K473" s="117"/>
      <c r="L473" s="117"/>
      <c r="M473" s="84"/>
      <c r="O473" s="75" t="str">
        <f t="shared" si="155"/>
        <v/>
      </c>
      <c r="P473" s="75" t="str">
        <f t="shared" si="156"/>
        <v/>
      </c>
      <c r="Q473" s="75" t="str">
        <f t="shared" si="157"/>
        <v/>
      </c>
      <c r="R473" s="75" t="str">
        <f t="shared" si="158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154"/>
        <v/>
      </c>
      <c r="E474" s="85"/>
      <c r="F474" s="80" t="str">
        <f t="shared" si="151"/>
        <v/>
      </c>
      <c r="G474" s="118"/>
      <c r="H474" s="80" t="str">
        <f t="shared" si="152"/>
        <v/>
      </c>
      <c r="I474" s="80" t="str">
        <f t="shared" si="153"/>
        <v/>
      </c>
      <c r="J474" s="117"/>
      <c r="K474" s="117"/>
      <c r="L474" s="117"/>
      <c r="M474" s="84"/>
      <c r="O474" s="75" t="str">
        <f t="shared" si="155"/>
        <v/>
      </c>
      <c r="P474" s="75" t="str">
        <f t="shared" si="156"/>
        <v/>
      </c>
      <c r="Q474" s="75" t="str">
        <f t="shared" si="157"/>
        <v/>
      </c>
      <c r="R474" s="75" t="str">
        <f t="shared" si="158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154"/>
        <v/>
      </c>
      <c r="E475" s="85"/>
      <c r="F475" s="80" t="str">
        <f t="shared" si="151"/>
        <v/>
      </c>
      <c r="G475" s="118"/>
      <c r="H475" s="80" t="str">
        <f t="shared" si="152"/>
        <v/>
      </c>
      <c r="I475" s="80" t="str">
        <f t="shared" si="153"/>
        <v/>
      </c>
      <c r="J475" s="117"/>
      <c r="K475" s="117"/>
      <c r="L475" s="117"/>
      <c r="M475" s="84"/>
      <c r="O475" s="75" t="str">
        <f t="shared" si="155"/>
        <v/>
      </c>
      <c r="P475" s="75" t="str">
        <f t="shared" si="156"/>
        <v/>
      </c>
      <c r="Q475" s="75" t="str">
        <f t="shared" si="157"/>
        <v/>
      </c>
      <c r="R475" s="75" t="str">
        <f t="shared" si="158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154"/>
        <v/>
      </c>
      <c r="E476" s="85"/>
      <c r="F476" s="80" t="str">
        <f t="shared" si="151"/>
        <v/>
      </c>
      <c r="G476" s="118"/>
      <c r="H476" s="80" t="str">
        <f t="shared" si="152"/>
        <v/>
      </c>
      <c r="I476" s="80" t="str">
        <f t="shared" si="153"/>
        <v/>
      </c>
      <c r="J476" s="117"/>
      <c r="K476" s="117"/>
      <c r="L476" s="117"/>
      <c r="M476" s="84"/>
      <c r="O476" s="75" t="str">
        <f t="shared" si="155"/>
        <v/>
      </c>
      <c r="P476" s="75" t="str">
        <f t="shared" si="156"/>
        <v/>
      </c>
      <c r="Q476" s="75" t="str">
        <f t="shared" si="157"/>
        <v/>
      </c>
      <c r="R476" s="75" t="str">
        <f t="shared" si="158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154"/>
        <v/>
      </c>
      <c r="E477" s="85"/>
      <c r="F477" s="80" t="str">
        <f t="shared" si="151"/>
        <v/>
      </c>
      <c r="G477" s="118"/>
      <c r="H477" s="80" t="str">
        <f t="shared" si="152"/>
        <v/>
      </c>
      <c r="I477" s="80" t="str">
        <f t="shared" si="153"/>
        <v/>
      </c>
      <c r="J477" s="117"/>
      <c r="K477" s="117"/>
      <c r="L477" s="117"/>
      <c r="M477" s="84"/>
      <c r="O477" s="75" t="str">
        <f t="shared" si="155"/>
        <v/>
      </c>
      <c r="P477" s="75" t="str">
        <f t="shared" si="156"/>
        <v/>
      </c>
      <c r="Q477" s="75" t="str">
        <f t="shared" si="157"/>
        <v/>
      </c>
      <c r="R477" s="75" t="str">
        <f t="shared" si="158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154"/>
        <v/>
      </c>
      <c r="E478" s="85"/>
      <c r="F478" s="80" t="str">
        <f t="shared" si="151"/>
        <v/>
      </c>
      <c r="G478" s="118"/>
      <c r="H478" s="80" t="str">
        <f t="shared" si="152"/>
        <v/>
      </c>
      <c r="I478" s="80" t="str">
        <f t="shared" si="153"/>
        <v/>
      </c>
      <c r="J478" s="117"/>
      <c r="K478" s="117"/>
      <c r="L478" s="117"/>
      <c r="M478" s="84"/>
      <c r="O478" s="75" t="str">
        <f t="shared" si="155"/>
        <v/>
      </c>
      <c r="P478" s="75" t="str">
        <f t="shared" si="156"/>
        <v/>
      </c>
      <c r="Q478" s="75" t="str">
        <f t="shared" si="157"/>
        <v/>
      </c>
      <c r="R478" s="75" t="str">
        <f t="shared" si="158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154"/>
        <v/>
      </c>
      <c r="E479" s="85"/>
      <c r="F479" s="80" t="str">
        <f t="shared" si="151"/>
        <v/>
      </c>
      <c r="G479" s="118"/>
      <c r="H479" s="80" t="str">
        <f t="shared" si="152"/>
        <v/>
      </c>
      <c r="I479" s="80" t="str">
        <f t="shared" si="153"/>
        <v/>
      </c>
      <c r="J479" s="117"/>
      <c r="K479" s="117"/>
      <c r="L479" s="117"/>
      <c r="M479" s="84"/>
      <c r="O479" s="75" t="str">
        <f t="shared" si="155"/>
        <v/>
      </c>
      <c r="P479" s="75" t="str">
        <f t="shared" si="156"/>
        <v/>
      </c>
      <c r="Q479" s="75" t="str">
        <f t="shared" si="157"/>
        <v/>
      </c>
      <c r="R479" s="75" t="str">
        <f t="shared" si="158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154"/>
        <v/>
      </c>
      <c r="E480" s="85"/>
      <c r="F480" s="80" t="str">
        <f t="shared" si="151"/>
        <v/>
      </c>
      <c r="G480" s="118"/>
      <c r="H480" s="80" t="str">
        <f t="shared" si="152"/>
        <v/>
      </c>
      <c r="I480" s="80" t="str">
        <f t="shared" si="153"/>
        <v/>
      </c>
      <c r="J480" s="117"/>
      <c r="K480" s="117"/>
      <c r="L480" s="117"/>
      <c r="M480" s="84"/>
      <c r="O480" s="75" t="str">
        <f t="shared" si="155"/>
        <v/>
      </c>
      <c r="P480" s="75" t="str">
        <f t="shared" si="156"/>
        <v/>
      </c>
      <c r="Q480" s="75" t="str">
        <f t="shared" si="157"/>
        <v/>
      </c>
      <c r="R480" s="75" t="str">
        <f t="shared" si="158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154"/>
        <v/>
      </c>
      <c r="E481" s="85"/>
      <c r="F481" s="80" t="str">
        <f t="shared" si="151"/>
        <v/>
      </c>
      <c r="G481" s="118"/>
      <c r="H481" s="80" t="str">
        <f t="shared" si="152"/>
        <v/>
      </c>
      <c r="I481" s="80" t="str">
        <f t="shared" si="153"/>
        <v/>
      </c>
      <c r="J481" s="117"/>
      <c r="K481" s="117"/>
      <c r="L481" s="117"/>
      <c r="M481" s="84"/>
      <c r="O481" s="75" t="str">
        <f t="shared" si="155"/>
        <v/>
      </c>
      <c r="P481" s="75" t="str">
        <f t="shared" si="156"/>
        <v/>
      </c>
      <c r="Q481" s="75" t="str">
        <f t="shared" si="157"/>
        <v/>
      </c>
      <c r="R481" s="75" t="str">
        <f t="shared" si="158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154"/>
        <v/>
      </c>
      <c r="E482" s="85"/>
      <c r="F482" s="80" t="str">
        <f t="shared" si="151"/>
        <v/>
      </c>
      <c r="G482" s="118"/>
      <c r="H482" s="80" t="str">
        <f t="shared" si="152"/>
        <v/>
      </c>
      <c r="I482" s="80" t="str">
        <f t="shared" si="153"/>
        <v/>
      </c>
      <c r="J482" s="117"/>
      <c r="K482" s="117"/>
      <c r="L482" s="117"/>
      <c r="M482" s="84"/>
      <c r="O482" s="75" t="str">
        <f t="shared" si="155"/>
        <v/>
      </c>
      <c r="P482" s="75" t="str">
        <f t="shared" si="156"/>
        <v/>
      </c>
      <c r="Q482" s="75" t="str">
        <f t="shared" si="157"/>
        <v/>
      </c>
      <c r="R482" s="75" t="str">
        <f t="shared" si="158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154"/>
        <v/>
      </c>
      <c r="E483" s="85"/>
      <c r="F483" s="80" t="str">
        <f t="shared" si="151"/>
        <v/>
      </c>
      <c r="G483" s="118"/>
      <c r="H483" s="80" t="str">
        <f t="shared" si="152"/>
        <v/>
      </c>
      <c r="I483" s="80" t="str">
        <f t="shared" si="153"/>
        <v/>
      </c>
      <c r="J483" s="117"/>
      <c r="K483" s="117"/>
      <c r="L483" s="117"/>
      <c r="M483" s="84"/>
      <c r="O483" s="75" t="str">
        <f t="shared" si="155"/>
        <v/>
      </c>
      <c r="P483" s="75" t="str">
        <f t="shared" si="156"/>
        <v/>
      </c>
      <c r="Q483" s="75" t="str">
        <f t="shared" si="157"/>
        <v/>
      </c>
      <c r="R483" s="75" t="str">
        <f t="shared" si="158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154"/>
        <v/>
      </c>
      <c r="E484" s="85"/>
      <c r="F484" s="80" t="str">
        <f t="shared" si="151"/>
        <v/>
      </c>
      <c r="G484" s="118"/>
      <c r="H484" s="80" t="str">
        <f t="shared" si="152"/>
        <v/>
      </c>
      <c r="I484" s="80" t="str">
        <f t="shared" si="153"/>
        <v/>
      </c>
      <c r="J484" s="117"/>
      <c r="K484" s="117"/>
      <c r="L484" s="117"/>
      <c r="M484" s="84"/>
      <c r="O484" s="75" t="str">
        <f t="shared" si="155"/>
        <v/>
      </c>
      <c r="P484" s="75" t="str">
        <f t="shared" si="156"/>
        <v/>
      </c>
      <c r="Q484" s="75" t="str">
        <f t="shared" si="157"/>
        <v/>
      </c>
      <c r="R484" s="75" t="str">
        <f t="shared" si="158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154"/>
        <v/>
      </c>
      <c r="E485" s="85"/>
      <c r="F485" s="80" t="str">
        <f t="shared" si="151"/>
        <v/>
      </c>
      <c r="G485" s="118"/>
      <c r="H485" s="80" t="str">
        <f t="shared" si="152"/>
        <v/>
      </c>
      <c r="I485" s="80" t="str">
        <f t="shared" si="153"/>
        <v/>
      </c>
      <c r="J485" s="117"/>
      <c r="K485" s="117"/>
      <c r="L485" s="117"/>
      <c r="M485" s="84"/>
      <c r="O485" s="75" t="str">
        <f t="shared" si="155"/>
        <v/>
      </c>
      <c r="P485" s="75" t="str">
        <f t="shared" si="156"/>
        <v/>
      </c>
      <c r="Q485" s="75" t="str">
        <f t="shared" si="157"/>
        <v/>
      </c>
      <c r="R485" s="75" t="str">
        <f t="shared" si="158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154"/>
        <v/>
      </c>
      <c r="E486" s="85"/>
      <c r="F486" s="80" t="str">
        <f t="shared" si="151"/>
        <v/>
      </c>
      <c r="G486" s="118"/>
      <c r="H486" s="80" t="str">
        <f t="shared" si="152"/>
        <v/>
      </c>
      <c r="I486" s="80" t="str">
        <f t="shared" si="153"/>
        <v/>
      </c>
      <c r="J486" s="117"/>
      <c r="K486" s="117"/>
      <c r="L486" s="117"/>
      <c r="M486" s="84"/>
      <c r="O486" s="75" t="str">
        <f t="shared" si="155"/>
        <v/>
      </c>
      <c r="P486" s="75" t="str">
        <f t="shared" si="156"/>
        <v/>
      </c>
      <c r="Q486" s="75" t="str">
        <f t="shared" si="157"/>
        <v/>
      </c>
      <c r="R486" s="75" t="str">
        <f t="shared" si="158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154"/>
        <v/>
      </c>
      <c r="E487" s="85"/>
      <c r="F487" s="80" t="str">
        <f t="shared" si="151"/>
        <v/>
      </c>
      <c r="G487" s="118"/>
      <c r="H487" s="80" t="str">
        <f t="shared" si="152"/>
        <v/>
      </c>
      <c r="I487" s="80" t="str">
        <f t="shared" si="153"/>
        <v/>
      </c>
      <c r="J487" s="117"/>
      <c r="K487" s="117"/>
      <c r="L487" s="117"/>
      <c r="M487" s="84"/>
      <c r="O487" s="75" t="str">
        <f t="shared" si="155"/>
        <v/>
      </c>
      <c r="P487" s="75" t="str">
        <f t="shared" si="156"/>
        <v/>
      </c>
      <c r="Q487" s="75" t="str">
        <f t="shared" si="157"/>
        <v/>
      </c>
      <c r="R487" s="75" t="str">
        <f t="shared" si="158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154"/>
        <v/>
      </c>
      <c r="E488" s="85"/>
      <c r="F488" s="80" t="str">
        <f t="shared" si="151"/>
        <v/>
      </c>
      <c r="G488" s="118"/>
      <c r="H488" s="80" t="str">
        <f t="shared" si="152"/>
        <v/>
      </c>
      <c r="I488" s="80" t="str">
        <f t="shared" si="153"/>
        <v/>
      </c>
      <c r="J488" s="117"/>
      <c r="K488" s="117"/>
      <c r="L488" s="117"/>
      <c r="M488" s="84"/>
      <c r="O488" s="75" t="str">
        <f t="shared" si="155"/>
        <v/>
      </c>
      <c r="P488" s="75" t="str">
        <f t="shared" si="156"/>
        <v/>
      </c>
      <c r="Q488" s="75" t="str">
        <f t="shared" si="157"/>
        <v/>
      </c>
      <c r="R488" s="75" t="str">
        <f t="shared" si="158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154"/>
        <v/>
      </c>
      <c r="E489" s="85"/>
      <c r="F489" s="80" t="str">
        <f t="shared" si="151"/>
        <v/>
      </c>
      <c r="G489" s="118"/>
      <c r="H489" s="80" t="str">
        <f t="shared" si="152"/>
        <v/>
      </c>
      <c r="I489" s="80" t="str">
        <f t="shared" si="153"/>
        <v/>
      </c>
      <c r="J489" s="117"/>
      <c r="K489" s="117"/>
      <c r="L489" s="117"/>
      <c r="M489" s="84"/>
      <c r="O489" s="75" t="str">
        <f t="shared" si="155"/>
        <v/>
      </c>
      <c r="P489" s="75" t="str">
        <f t="shared" si="156"/>
        <v/>
      </c>
      <c r="Q489" s="75" t="str">
        <f t="shared" si="157"/>
        <v/>
      </c>
      <c r="R489" s="75" t="str">
        <f t="shared" si="158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154"/>
        <v/>
      </c>
      <c r="E490" s="85"/>
      <c r="F490" s="80" t="str">
        <f t="shared" si="151"/>
        <v/>
      </c>
      <c r="G490" s="118"/>
      <c r="H490" s="80" t="str">
        <f t="shared" si="152"/>
        <v/>
      </c>
      <c r="I490" s="80" t="str">
        <f t="shared" si="153"/>
        <v/>
      </c>
      <c r="J490" s="117"/>
      <c r="K490" s="117"/>
      <c r="L490" s="117"/>
      <c r="M490" s="84"/>
      <c r="O490" s="75" t="str">
        <f t="shared" si="155"/>
        <v/>
      </c>
      <c r="P490" s="75" t="str">
        <f t="shared" si="156"/>
        <v/>
      </c>
      <c r="Q490" s="75" t="str">
        <f t="shared" si="157"/>
        <v/>
      </c>
      <c r="R490" s="75" t="str">
        <f t="shared" si="158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154"/>
        <v/>
      </c>
      <c r="E491" s="85"/>
      <c r="F491" s="80" t="str">
        <f t="shared" si="151"/>
        <v/>
      </c>
      <c r="G491" s="118"/>
      <c r="H491" s="80" t="str">
        <f t="shared" si="152"/>
        <v/>
      </c>
      <c r="I491" s="80" t="str">
        <f t="shared" si="153"/>
        <v/>
      </c>
      <c r="J491" s="117"/>
      <c r="K491" s="117"/>
      <c r="L491" s="117"/>
      <c r="M491" s="84"/>
      <c r="O491" s="75" t="str">
        <f t="shared" si="155"/>
        <v/>
      </c>
      <c r="P491" s="75" t="str">
        <f t="shared" si="156"/>
        <v/>
      </c>
      <c r="Q491" s="75" t="str">
        <f t="shared" si="157"/>
        <v/>
      </c>
      <c r="R491" s="75" t="str">
        <f t="shared" si="158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154"/>
        <v/>
      </c>
      <c r="E492" s="85"/>
      <c r="F492" s="80" t="str">
        <f t="shared" si="151"/>
        <v/>
      </c>
      <c r="G492" s="118"/>
      <c r="H492" s="80" t="str">
        <f t="shared" si="152"/>
        <v/>
      </c>
      <c r="I492" s="80" t="str">
        <f t="shared" si="153"/>
        <v/>
      </c>
      <c r="J492" s="117"/>
      <c r="K492" s="117"/>
      <c r="L492" s="117"/>
      <c r="M492" s="84"/>
      <c r="O492" s="75" t="str">
        <f t="shared" si="155"/>
        <v/>
      </c>
      <c r="P492" s="75" t="str">
        <f t="shared" si="156"/>
        <v/>
      </c>
      <c r="Q492" s="75" t="str">
        <f t="shared" si="157"/>
        <v/>
      </c>
      <c r="R492" s="75" t="str">
        <f t="shared" si="158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154"/>
        <v/>
      </c>
      <c r="E493" s="85"/>
      <c r="F493" s="80" t="str">
        <f t="shared" si="151"/>
        <v/>
      </c>
      <c r="G493" s="118"/>
      <c r="H493" s="80" t="str">
        <f t="shared" si="152"/>
        <v/>
      </c>
      <c r="I493" s="80" t="str">
        <f t="shared" si="153"/>
        <v/>
      </c>
      <c r="J493" s="117"/>
      <c r="K493" s="117"/>
      <c r="L493" s="117"/>
      <c r="M493" s="84"/>
      <c r="O493" s="75" t="str">
        <f t="shared" si="155"/>
        <v/>
      </c>
      <c r="P493" s="75" t="str">
        <f t="shared" si="156"/>
        <v/>
      </c>
      <c r="Q493" s="75" t="str">
        <f t="shared" si="157"/>
        <v/>
      </c>
      <c r="R493" s="75" t="str">
        <f t="shared" si="158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154"/>
        <v/>
      </c>
      <c r="E494" s="85"/>
      <c r="F494" s="80" t="str">
        <f t="shared" si="151"/>
        <v/>
      </c>
      <c r="G494" s="118"/>
      <c r="H494" s="80" t="str">
        <f t="shared" si="152"/>
        <v/>
      </c>
      <c r="I494" s="80" t="str">
        <f t="shared" si="153"/>
        <v/>
      </c>
      <c r="J494" s="117"/>
      <c r="K494" s="117"/>
      <c r="L494" s="117"/>
      <c r="M494" s="84"/>
      <c r="O494" s="75" t="str">
        <f t="shared" si="155"/>
        <v/>
      </c>
      <c r="P494" s="75" t="str">
        <f t="shared" si="156"/>
        <v/>
      </c>
      <c r="Q494" s="75" t="str">
        <f t="shared" si="157"/>
        <v/>
      </c>
      <c r="R494" s="75" t="str">
        <f t="shared" si="158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154"/>
        <v/>
      </c>
      <c r="E495" s="85"/>
      <c r="F495" s="80" t="str">
        <f t="shared" si="151"/>
        <v/>
      </c>
      <c r="G495" s="118"/>
      <c r="H495" s="80" t="str">
        <f t="shared" si="152"/>
        <v/>
      </c>
      <c r="I495" s="80" t="str">
        <f t="shared" si="153"/>
        <v/>
      </c>
      <c r="J495" s="117"/>
      <c r="K495" s="117"/>
      <c r="L495" s="117"/>
      <c r="M495" s="84"/>
      <c r="O495" s="75" t="str">
        <f t="shared" si="155"/>
        <v/>
      </c>
      <c r="P495" s="75" t="str">
        <f t="shared" si="156"/>
        <v/>
      </c>
      <c r="Q495" s="75" t="str">
        <f t="shared" si="157"/>
        <v/>
      </c>
      <c r="R495" s="75" t="str">
        <f t="shared" si="158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154"/>
        <v/>
      </c>
      <c r="E496" s="85"/>
      <c r="F496" s="80" t="str">
        <f t="shared" si="151"/>
        <v/>
      </c>
      <c r="G496" s="118"/>
      <c r="H496" s="80" t="str">
        <f t="shared" si="152"/>
        <v/>
      </c>
      <c r="I496" s="80" t="str">
        <f t="shared" si="153"/>
        <v/>
      </c>
      <c r="J496" s="117"/>
      <c r="K496" s="117"/>
      <c r="L496" s="117"/>
      <c r="M496" s="84"/>
      <c r="O496" s="75" t="str">
        <f t="shared" si="155"/>
        <v/>
      </c>
      <c r="P496" s="75" t="str">
        <f t="shared" si="156"/>
        <v/>
      </c>
      <c r="Q496" s="75" t="str">
        <f t="shared" si="157"/>
        <v/>
      </c>
      <c r="R496" s="75" t="str">
        <f t="shared" si="158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154"/>
        <v/>
      </c>
      <c r="E497" s="85"/>
      <c r="F497" s="80" t="str">
        <f t="shared" si="151"/>
        <v/>
      </c>
      <c r="G497" s="118"/>
      <c r="H497" s="80" t="str">
        <f t="shared" si="152"/>
        <v/>
      </c>
      <c r="I497" s="80" t="str">
        <f t="shared" si="153"/>
        <v/>
      </c>
      <c r="J497" s="117"/>
      <c r="K497" s="117"/>
      <c r="L497" s="117"/>
      <c r="M497" s="84"/>
      <c r="O497" s="75" t="str">
        <f t="shared" si="155"/>
        <v/>
      </c>
      <c r="P497" s="75" t="str">
        <f t="shared" si="156"/>
        <v/>
      </c>
      <c r="Q497" s="75" t="str">
        <f t="shared" si="157"/>
        <v/>
      </c>
      <c r="R497" s="75" t="str">
        <f t="shared" si="158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154"/>
        <v/>
      </c>
      <c r="E498" s="85"/>
      <c r="F498" s="80" t="str">
        <f t="shared" si="151"/>
        <v/>
      </c>
      <c r="G498" s="118"/>
      <c r="H498" s="80" t="str">
        <f t="shared" si="152"/>
        <v/>
      </c>
      <c r="I498" s="80" t="str">
        <f t="shared" si="153"/>
        <v/>
      </c>
      <c r="J498" s="117"/>
      <c r="K498" s="117"/>
      <c r="L498" s="117"/>
      <c r="M498" s="84"/>
      <c r="O498" s="75" t="str">
        <f t="shared" si="155"/>
        <v/>
      </c>
      <c r="P498" s="75" t="str">
        <f t="shared" si="156"/>
        <v/>
      </c>
      <c r="Q498" s="75" t="str">
        <f t="shared" si="157"/>
        <v/>
      </c>
      <c r="R498" s="75" t="str">
        <f t="shared" si="158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154"/>
        <v/>
      </c>
      <c r="E499" s="85"/>
      <c r="F499" s="80" t="str">
        <f t="shared" si="151"/>
        <v/>
      </c>
      <c r="G499" s="118"/>
      <c r="H499" s="80" t="str">
        <f t="shared" si="152"/>
        <v/>
      </c>
      <c r="I499" s="80" t="str">
        <f t="shared" si="153"/>
        <v/>
      </c>
      <c r="J499" s="117"/>
      <c r="K499" s="117"/>
      <c r="L499" s="117"/>
      <c r="M499" s="84"/>
      <c r="O499" s="75" t="str">
        <f t="shared" si="155"/>
        <v/>
      </c>
      <c r="P499" s="75" t="str">
        <f t="shared" si="156"/>
        <v/>
      </c>
      <c r="Q499" s="75" t="str">
        <f t="shared" si="157"/>
        <v/>
      </c>
      <c r="R499" s="75" t="str">
        <f t="shared" si="158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154"/>
        <v/>
      </c>
      <c r="E500" s="85"/>
      <c r="F500" s="80" t="str">
        <f t="shared" si="151"/>
        <v/>
      </c>
      <c r="G500" s="118"/>
      <c r="H500" s="80" t="str">
        <f t="shared" si="152"/>
        <v/>
      </c>
      <c r="I500" s="80" t="str">
        <f t="shared" si="153"/>
        <v/>
      </c>
      <c r="J500" s="117"/>
      <c r="K500" s="117"/>
      <c r="L500" s="117"/>
      <c r="M500" s="84"/>
      <c r="O500" s="75" t="str">
        <f t="shared" si="155"/>
        <v/>
      </c>
      <c r="P500" s="75" t="str">
        <f t="shared" si="156"/>
        <v/>
      </c>
      <c r="Q500" s="75" t="str">
        <f t="shared" si="157"/>
        <v/>
      </c>
      <c r="R500" s="75" t="str">
        <f t="shared" si="158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154"/>
        <v/>
      </c>
      <c r="E501" s="85"/>
      <c r="F501" s="80" t="str">
        <f t="shared" si="151"/>
        <v/>
      </c>
      <c r="G501" s="118"/>
      <c r="H501" s="80" t="str">
        <f t="shared" si="152"/>
        <v/>
      </c>
      <c r="I501" s="80" t="str">
        <f t="shared" si="153"/>
        <v/>
      </c>
      <c r="J501" s="117"/>
      <c r="K501" s="117"/>
      <c r="L501" s="117"/>
      <c r="M501" s="84"/>
      <c r="O501" s="75" t="str">
        <f t="shared" si="155"/>
        <v/>
      </c>
      <c r="P501" s="75" t="str">
        <f t="shared" si="156"/>
        <v/>
      </c>
      <c r="Q501" s="75" t="str">
        <f t="shared" si="157"/>
        <v/>
      </c>
      <c r="R501" s="75" t="str">
        <f t="shared" si="158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154"/>
        <v/>
      </c>
      <c r="E502" s="85"/>
      <c r="F502" s="80" t="str">
        <f t="shared" si="151"/>
        <v/>
      </c>
      <c r="G502" s="118"/>
      <c r="H502" s="80" t="str">
        <f t="shared" si="152"/>
        <v/>
      </c>
      <c r="I502" s="80" t="str">
        <f t="shared" si="153"/>
        <v/>
      </c>
      <c r="J502" s="117"/>
      <c r="K502" s="117"/>
      <c r="L502" s="117"/>
      <c r="M502" s="84"/>
      <c r="O502" s="75" t="str">
        <f t="shared" si="155"/>
        <v/>
      </c>
      <c r="P502" s="75" t="str">
        <f t="shared" si="156"/>
        <v/>
      </c>
      <c r="Q502" s="75" t="str">
        <f t="shared" si="157"/>
        <v/>
      </c>
      <c r="R502" s="75" t="str">
        <f t="shared" si="158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154"/>
        <v/>
      </c>
      <c r="E503" s="85"/>
      <c r="F503" s="80" t="str">
        <f t="shared" si="151"/>
        <v/>
      </c>
      <c r="G503" s="118"/>
      <c r="H503" s="80" t="str">
        <f t="shared" si="152"/>
        <v/>
      </c>
      <c r="I503" s="80" t="str">
        <f t="shared" si="153"/>
        <v/>
      </c>
      <c r="J503" s="117"/>
      <c r="K503" s="117"/>
      <c r="L503" s="117"/>
      <c r="M503" s="84"/>
      <c r="O503" s="75" t="str">
        <f t="shared" si="155"/>
        <v/>
      </c>
      <c r="P503" s="75" t="str">
        <f t="shared" si="156"/>
        <v/>
      </c>
      <c r="Q503" s="75" t="str">
        <f t="shared" si="157"/>
        <v/>
      </c>
      <c r="R503" s="75" t="str">
        <f t="shared" si="158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154"/>
        <v/>
      </c>
      <c r="E504" s="85"/>
      <c r="F504" s="80" t="str">
        <f t="shared" si="151"/>
        <v/>
      </c>
      <c r="G504" s="118"/>
      <c r="H504" s="80" t="str">
        <f t="shared" si="152"/>
        <v/>
      </c>
      <c r="I504" s="80" t="str">
        <f t="shared" si="153"/>
        <v/>
      </c>
      <c r="J504" s="117"/>
      <c r="K504" s="117"/>
      <c r="L504" s="117"/>
      <c r="M504" s="84"/>
      <c r="O504" s="75" t="str">
        <f t="shared" si="155"/>
        <v/>
      </c>
      <c r="P504" s="75" t="str">
        <f t="shared" si="156"/>
        <v/>
      </c>
      <c r="Q504" s="75" t="str">
        <f t="shared" si="157"/>
        <v/>
      </c>
      <c r="R504" s="75" t="str">
        <f t="shared" si="158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154"/>
        <v/>
      </c>
      <c r="E505" s="85"/>
      <c r="F505" s="80" t="str">
        <f t="shared" si="151"/>
        <v/>
      </c>
      <c r="G505" s="118"/>
      <c r="H505" s="80" t="str">
        <f t="shared" si="152"/>
        <v/>
      </c>
      <c r="I505" s="80" t="str">
        <f t="shared" si="153"/>
        <v/>
      </c>
      <c r="J505" s="117"/>
      <c r="K505" s="117"/>
      <c r="L505" s="117"/>
      <c r="M505" s="84"/>
      <c r="O505" s="75" t="str">
        <f t="shared" si="155"/>
        <v/>
      </c>
      <c r="P505" s="75" t="str">
        <f t="shared" si="156"/>
        <v/>
      </c>
      <c r="Q505" s="75" t="str">
        <f t="shared" si="157"/>
        <v/>
      </c>
      <c r="R505" s="75" t="str">
        <f t="shared" si="158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154"/>
        <v/>
      </c>
      <c r="E506" s="85"/>
      <c r="F506" s="80" t="str">
        <f t="shared" si="151"/>
        <v/>
      </c>
      <c r="G506" s="118"/>
      <c r="H506" s="80" t="str">
        <f t="shared" si="152"/>
        <v/>
      </c>
      <c r="I506" s="80" t="str">
        <f t="shared" si="153"/>
        <v/>
      </c>
      <c r="J506" s="117"/>
      <c r="K506" s="117"/>
      <c r="L506" s="117"/>
      <c r="M506" s="84"/>
      <c r="O506" s="75" t="str">
        <f t="shared" si="155"/>
        <v/>
      </c>
      <c r="P506" s="75" t="str">
        <f t="shared" si="156"/>
        <v/>
      </c>
      <c r="Q506" s="75" t="str">
        <f t="shared" si="157"/>
        <v/>
      </c>
      <c r="R506" s="75" t="str">
        <f t="shared" si="158"/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154"/>
        <v/>
      </c>
      <c r="E507" s="85"/>
      <c r="F507" s="80" t="str">
        <f t="shared" si="151"/>
        <v/>
      </c>
      <c r="G507" s="118"/>
      <c r="H507" s="80" t="str">
        <f t="shared" si="152"/>
        <v/>
      </c>
      <c r="I507" s="80" t="str">
        <f t="shared" si="153"/>
        <v/>
      </c>
      <c r="J507" s="117"/>
      <c r="K507" s="117"/>
      <c r="L507" s="117"/>
      <c r="M507" s="84"/>
      <c r="O507" s="75" t="str">
        <f t="shared" si="155"/>
        <v/>
      </c>
      <c r="P507" s="75" t="str">
        <f t="shared" si="156"/>
        <v/>
      </c>
      <c r="Q507" s="75" t="str">
        <f t="shared" si="157"/>
        <v/>
      </c>
      <c r="R507" s="75" t="str">
        <f t="shared" si="158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154"/>
        <v/>
      </c>
      <c r="E508" s="85"/>
      <c r="F508" s="80" t="str">
        <f t="shared" si="151"/>
        <v/>
      </c>
      <c r="G508" s="118"/>
      <c r="H508" s="80" t="str">
        <f t="shared" si="152"/>
        <v/>
      </c>
      <c r="I508" s="80" t="str">
        <f t="shared" si="153"/>
        <v/>
      </c>
      <c r="J508" s="117"/>
      <c r="K508" s="117"/>
      <c r="L508" s="117"/>
      <c r="M508" s="84"/>
      <c r="O508" s="75" t="str">
        <f t="shared" si="155"/>
        <v/>
      </c>
      <c r="P508" s="75" t="str">
        <f t="shared" si="156"/>
        <v/>
      </c>
      <c r="Q508" s="75" t="str">
        <f t="shared" si="157"/>
        <v/>
      </c>
      <c r="R508" s="75" t="str">
        <f t="shared" si="158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154"/>
        <v/>
      </c>
      <c r="E509" s="85"/>
      <c r="F509" s="80" t="str">
        <f t="shared" si="151"/>
        <v/>
      </c>
      <c r="G509" s="118"/>
      <c r="H509" s="80" t="str">
        <f t="shared" si="152"/>
        <v/>
      </c>
      <c r="I509" s="80" t="str">
        <f t="shared" si="153"/>
        <v/>
      </c>
      <c r="J509" s="117"/>
      <c r="K509" s="117"/>
      <c r="L509" s="117"/>
      <c r="M509" s="84"/>
      <c r="O509" s="75" t="str">
        <f t="shared" si="155"/>
        <v/>
      </c>
      <c r="P509" s="75" t="str">
        <f t="shared" si="156"/>
        <v/>
      </c>
      <c r="Q509" s="75" t="str">
        <f t="shared" si="157"/>
        <v/>
      </c>
      <c r="R509" s="75" t="str">
        <f t="shared" si="158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154"/>
        <v/>
      </c>
      <c r="E510" s="85"/>
      <c r="F510" s="80" t="str">
        <f t="shared" si="151"/>
        <v/>
      </c>
      <c r="G510" s="118"/>
      <c r="H510" s="80" t="str">
        <f t="shared" si="152"/>
        <v/>
      </c>
      <c r="I510" s="80" t="str">
        <f t="shared" si="153"/>
        <v/>
      </c>
      <c r="J510" s="117"/>
      <c r="K510" s="117"/>
      <c r="L510" s="117"/>
      <c r="M510" s="84"/>
      <c r="O510" s="75" t="str">
        <f t="shared" si="155"/>
        <v/>
      </c>
      <c r="P510" s="75" t="str">
        <f t="shared" si="156"/>
        <v/>
      </c>
      <c r="Q510" s="75" t="str">
        <f t="shared" si="157"/>
        <v/>
      </c>
      <c r="R510" s="75" t="str">
        <f t="shared" si="158"/>
        <v/>
      </c>
    </row>
    <row r="511" spans="1:18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154"/>
        <v/>
      </c>
      <c r="E511" s="85"/>
      <c r="F511" s="80" t="str">
        <f t="shared" si="151"/>
        <v/>
      </c>
      <c r="G511" s="118"/>
      <c r="H511" s="80" t="str">
        <f t="shared" si="152"/>
        <v/>
      </c>
      <c r="I511" s="80" t="str">
        <f t="shared" si="153"/>
        <v/>
      </c>
      <c r="J511" s="117"/>
      <c r="K511" s="117"/>
      <c r="L511" s="117"/>
      <c r="M511" s="84"/>
      <c r="O511" s="75" t="str">
        <f t="shared" si="155"/>
        <v/>
      </c>
      <c r="P511" s="75" t="str">
        <f t="shared" si="156"/>
        <v/>
      </c>
      <c r="Q511" s="75" t="str">
        <f t="shared" si="157"/>
        <v/>
      </c>
      <c r="R511" s="75" t="str">
        <f t="shared" si="158"/>
        <v/>
      </c>
    </row>
    <row r="512" spans="1:18">
      <c r="A512" s="79" t="str">
        <f>IF(C512="","",VLOOKUP('OPĆI DIO'!$C$3,'OPĆI DIO'!$L$6:$U$138,10,FALSE))</f>
        <v/>
      </c>
      <c r="B512" s="79" t="str">
        <f>IF(C512="","",VLOOKUP('OPĆI DIO'!$C$3,'OPĆI DIO'!$L$6:$U$138,9,FALSE))</f>
        <v/>
      </c>
      <c r="C512" s="85"/>
      <c r="D512" s="80" t="str">
        <f t="shared" si="154"/>
        <v/>
      </c>
      <c r="E512" s="85"/>
      <c r="F512" s="80" t="str">
        <f t="shared" si="151"/>
        <v/>
      </c>
      <c r="G512" s="118"/>
      <c r="H512" s="80" t="str">
        <f t="shared" si="152"/>
        <v/>
      </c>
      <c r="I512" s="80" t="str">
        <f t="shared" si="153"/>
        <v/>
      </c>
      <c r="J512" s="117"/>
      <c r="K512" s="117"/>
      <c r="L512" s="117"/>
      <c r="M512" s="84"/>
      <c r="O512" s="75" t="str">
        <f t="shared" si="155"/>
        <v/>
      </c>
      <c r="P512" s="75" t="str">
        <f t="shared" si="156"/>
        <v/>
      </c>
      <c r="Q512" s="75" t="str">
        <f t="shared" si="157"/>
        <v/>
      </c>
      <c r="R512" s="75" t="str">
        <f t="shared" si="158"/>
        <v/>
      </c>
    </row>
    <row r="513" spans="1:18">
      <c r="A513" s="79" t="str">
        <f>IF(C513="","",VLOOKUP('OPĆI DIO'!$C$3,'OPĆI DIO'!$L$6:$U$138,10,FALSE))</f>
        <v/>
      </c>
      <c r="B513" s="79" t="str">
        <f>IF(C513="","",VLOOKUP('OPĆI DIO'!$C$3,'OPĆI DIO'!$L$6:$U$138,9,FALSE))</f>
        <v/>
      </c>
      <c r="C513" s="85"/>
      <c r="D513" s="80" t="str">
        <f t="shared" si="154"/>
        <v/>
      </c>
      <c r="E513" s="85"/>
      <c r="F513" s="80" t="str">
        <f t="shared" si="151"/>
        <v/>
      </c>
      <c r="G513" s="118"/>
      <c r="H513" s="80" t="str">
        <f t="shared" si="152"/>
        <v/>
      </c>
      <c r="I513" s="80" t="str">
        <f t="shared" si="153"/>
        <v/>
      </c>
      <c r="J513" s="117"/>
      <c r="K513" s="117"/>
      <c r="L513" s="117"/>
      <c r="M513" s="84"/>
      <c r="O513" s="75" t="str">
        <f t="shared" si="155"/>
        <v/>
      </c>
      <c r="P513" s="75" t="str">
        <f t="shared" si="156"/>
        <v/>
      </c>
      <c r="Q513" s="75" t="str">
        <f t="shared" si="157"/>
        <v/>
      </c>
      <c r="R513" s="75" t="str">
        <f t="shared" si="158"/>
        <v/>
      </c>
    </row>
    <row r="514" spans="1:18">
      <c r="A514" s="79" t="str">
        <f>IF(C514="","",VLOOKUP('OPĆI DIO'!$C$3,'OPĆI DIO'!$L$6:$U$138,10,FALSE))</f>
        <v/>
      </c>
      <c r="B514" s="79" t="str">
        <f>IF(C514="","",VLOOKUP('OPĆI DIO'!$C$3,'OPĆI DIO'!$L$6:$U$138,9,FALSE))</f>
        <v/>
      </c>
      <c r="C514" s="85"/>
      <c r="D514" s="80" t="str">
        <f t="shared" si="154"/>
        <v/>
      </c>
      <c r="E514" s="85"/>
      <c r="F514" s="80" t="str">
        <f t="shared" si="151"/>
        <v/>
      </c>
      <c r="G514" s="118"/>
      <c r="H514" s="80" t="str">
        <f t="shared" si="152"/>
        <v/>
      </c>
      <c r="I514" s="80" t="str">
        <f t="shared" si="153"/>
        <v/>
      </c>
      <c r="J514" s="117"/>
      <c r="K514" s="117"/>
      <c r="L514" s="117"/>
      <c r="M514" s="84"/>
      <c r="O514" s="75" t="str">
        <f t="shared" si="155"/>
        <v/>
      </c>
      <c r="P514" s="75" t="str">
        <f t="shared" si="156"/>
        <v/>
      </c>
      <c r="Q514" s="75" t="str">
        <f t="shared" si="157"/>
        <v/>
      </c>
      <c r="R514" s="75" t="str">
        <f t="shared" si="158"/>
        <v/>
      </c>
    </row>
    <row r="515" spans="1:18">
      <c r="A515" s="79" t="str">
        <f>IF(C515="","",VLOOKUP('OPĆI DIO'!$C$3,'OPĆI DIO'!$L$6:$U$138,10,FALSE))</f>
        <v/>
      </c>
      <c r="B515" s="79" t="str">
        <f>IF(C515="","",VLOOKUP('OPĆI DIO'!$C$3,'OPĆI DIO'!$L$6:$U$138,9,FALSE))</f>
        <v/>
      </c>
      <c r="C515" s="85"/>
      <c r="D515" s="80" t="str">
        <f t="shared" si="154"/>
        <v/>
      </c>
      <c r="E515" s="85"/>
      <c r="F515" s="80" t="str">
        <f t="shared" si="151"/>
        <v/>
      </c>
      <c r="G515" s="118"/>
      <c r="H515" s="80" t="str">
        <f t="shared" si="152"/>
        <v/>
      </c>
      <c r="I515" s="80" t="str">
        <f t="shared" si="153"/>
        <v/>
      </c>
      <c r="J515" s="117"/>
      <c r="K515" s="117"/>
      <c r="L515" s="117"/>
      <c r="M515" s="84"/>
      <c r="O515" s="75" t="str">
        <f t="shared" si="155"/>
        <v/>
      </c>
      <c r="P515" s="75" t="str">
        <f t="shared" si="156"/>
        <v/>
      </c>
      <c r="Q515" s="75" t="str">
        <f t="shared" si="157"/>
        <v/>
      </c>
      <c r="R515" s="75" t="str">
        <f t="shared" si="158"/>
        <v/>
      </c>
    </row>
    <row r="516" spans="1:18">
      <c r="A516" s="79" t="str">
        <f>IF(C516="","",VLOOKUP('OPĆI DIO'!$C$3,'OPĆI DIO'!$L$6:$U$138,10,FALSE))</f>
        <v/>
      </c>
      <c r="B516" s="79" t="str">
        <f>IF(C516="","",VLOOKUP('OPĆI DIO'!$C$3,'OPĆI DIO'!$L$6:$U$138,9,FALSE))</f>
        <v/>
      </c>
      <c r="C516" s="85"/>
      <c r="D516" s="80" t="str">
        <f t="shared" si="154"/>
        <v/>
      </c>
      <c r="E516" s="85"/>
      <c r="F516" s="80" t="str">
        <f t="shared" si="151"/>
        <v/>
      </c>
      <c r="G516" s="118"/>
      <c r="H516" s="80" t="str">
        <f t="shared" si="152"/>
        <v/>
      </c>
      <c r="I516" s="80" t="str">
        <f t="shared" si="153"/>
        <v/>
      </c>
      <c r="J516" s="117"/>
      <c r="K516" s="117"/>
      <c r="L516" s="117"/>
      <c r="M516" s="84"/>
      <c r="O516" s="75" t="str">
        <f t="shared" si="155"/>
        <v/>
      </c>
      <c r="P516" s="75" t="str">
        <f t="shared" si="156"/>
        <v/>
      </c>
      <c r="Q516" s="75" t="str">
        <f t="shared" si="157"/>
        <v/>
      </c>
      <c r="R516" s="75" t="str">
        <f t="shared" si="158"/>
        <v/>
      </c>
    </row>
    <row r="517" spans="1:18">
      <c r="A517" s="79" t="str">
        <f>IF(C517="","",VLOOKUP('OPĆI DIO'!$C$3,'OPĆI DIO'!$L$6:$U$138,10,FALSE))</f>
        <v/>
      </c>
      <c r="B517" s="79" t="str">
        <f>IF(C517="","",VLOOKUP('OPĆI DIO'!$C$3,'OPĆI DIO'!$L$6:$U$138,9,FALSE))</f>
        <v/>
      </c>
      <c r="C517" s="85"/>
      <c r="D517" s="80" t="str">
        <f t="shared" si="154"/>
        <v/>
      </c>
      <c r="E517" s="85"/>
      <c r="F517" s="80" t="str">
        <f t="shared" ref="F517:F575" si="159">IFERROR(VLOOKUP(E517,$V$5:$X$203,2,FALSE),"")</f>
        <v/>
      </c>
      <c r="G517" s="118"/>
      <c r="H517" s="80" t="str">
        <f t="shared" ref="H517:H575" si="160">IFERROR(VLOOKUP(G517,$AB$7:$AC$401,2,FALSE),"")</f>
        <v/>
      </c>
      <c r="I517" s="80" t="str">
        <f t="shared" ref="I517:I575" si="161">IFERROR(VLOOKUP(G517,$AB$7:$AF$401,3,FALSE),"")</f>
        <v/>
      </c>
      <c r="J517" s="117"/>
      <c r="K517" s="117"/>
      <c r="L517" s="117"/>
      <c r="M517" s="84"/>
      <c r="O517" s="75" t="str">
        <f t="shared" si="155"/>
        <v/>
      </c>
      <c r="P517" s="75" t="str">
        <f t="shared" si="156"/>
        <v/>
      </c>
      <c r="Q517" s="75" t="str">
        <f t="shared" si="157"/>
        <v/>
      </c>
      <c r="R517" s="75" t="str">
        <f t="shared" si="158"/>
        <v/>
      </c>
    </row>
    <row r="518" spans="1:18">
      <c r="A518" s="79" t="str">
        <f>IF(C518="","",VLOOKUP('OPĆI DIO'!$C$3,'OPĆI DIO'!$L$6:$U$138,10,FALSE))</f>
        <v/>
      </c>
      <c r="B518" s="79" t="str">
        <f>IF(C518="","",VLOOKUP('OPĆI DIO'!$C$3,'OPĆI DIO'!$L$6:$U$138,9,FALSE))</f>
        <v/>
      </c>
      <c r="C518" s="85"/>
      <c r="D518" s="80" t="str">
        <f t="shared" si="154"/>
        <v/>
      </c>
      <c r="E518" s="85"/>
      <c r="F518" s="80" t="str">
        <f t="shared" si="159"/>
        <v/>
      </c>
      <c r="G518" s="118"/>
      <c r="H518" s="80" t="str">
        <f t="shared" si="160"/>
        <v/>
      </c>
      <c r="I518" s="80" t="str">
        <f t="shared" si="161"/>
        <v/>
      </c>
      <c r="J518" s="117"/>
      <c r="K518" s="117"/>
      <c r="L518" s="117"/>
      <c r="M518" s="84"/>
      <c r="O518" s="75" t="str">
        <f t="shared" si="155"/>
        <v/>
      </c>
      <c r="P518" s="75" t="str">
        <f t="shared" si="156"/>
        <v/>
      </c>
      <c r="Q518" s="75" t="str">
        <f t="shared" si="157"/>
        <v/>
      </c>
      <c r="R518" s="75" t="str">
        <f t="shared" si="158"/>
        <v/>
      </c>
    </row>
    <row r="519" spans="1:18">
      <c r="A519" s="79" t="str">
        <f>IF(C519="","",VLOOKUP('OPĆI DIO'!$C$3,'OPĆI DIO'!$L$6:$U$138,10,FALSE))</f>
        <v/>
      </c>
      <c r="B519" s="79" t="str">
        <f>IF(C519="","",VLOOKUP('OPĆI DIO'!$C$3,'OPĆI DIO'!$L$6:$U$138,9,FALSE))</f>
        <v/>
      </c>
      <c r="C519" s="85"/>
      <c r="D519" s="80" t="str">
        <f t="shared" si="154"/>
        <v/>
      </c>
      <c r="E519" s="85"/>
      <c r="F519" s="80" t="str">
        <f t="shared" si="159"/>
        <v/>
      </c>
      <c r="G519" s="118"/>
      <c r="H519" s="80" t="str">
        <f t="shared" si="160"/>
        <v/>
      </c>
      <c r="I519" s="80" t="str">
        <f t="shared" si="161"/>
        <v/>
      </c>
      <c r="J519" s="117"/>
      <c r="K519" s="117"/>
      <c r="L519" s="117"/>
      <c r="M519" s="84"/>
      <c r="O519" s="75" t="str">
        <f t="shared" si="155"/>
        <v/>
      </c>
      <c r="P519" s="75" t="str">
        <f t="shared" si="156"/>
        <v/>
      </c>
      <c r="Q519" s="75" t="str">
        <f t="shared" si="157"/>
        <v/>
      </c>
      <c r="R519" s="75" t="str">
        <f t="shared" si="158"/>
        <v/>
      </c>
    </row>
    <row r="520" spans="1:18">
      <c r="A520" s="79" t="str">
        <f>IF(C520="","",VLOOKUP('OPĆI DIO'!$C$3,'OPĆI DIO'!$L$6:$U$138,10,FALSE))</f>
        <v/>
      </c>
      <c r="B520" s="79" t="str">
        <f>IF(C520="","",VLOOKUP('OPĆI DIO'!$C$3,'OPĆI DIO'!$L$6:$U$138,9,FALSE))</f>
        <v/>
      </c>
      <c r="C520" s="85"/>
      <c r="D520" s="80" t="str">
        <f t="shared" si="154"/>
        <v/>
      </c>
      <c r="E520" s="85"/>
      <c r="F520" s="80" t="str">
        <f t="shared" si="159"/>
        <v/>
      </c>
      <c r="G520" s="118"/>
      <c r="H520" s="80" t="str">
        <f t="shared" si="160"/>
        <v/>
      </c>
      <c r="I520" s="80" t="str">
        <f t="shared" si="161"/>
        <v/>
      </c>
      <c r="J520" s="117"/>
      <c r="K520" s="117"/>
      <c r="L520" s="117"/>
      <c r="M520" s="84"/>
      <c r="O520" s="75" t="str">
        <f t="shared" si="155"/>
        <v/>
      </c>
      <c r="P520" s="75" t="str">
        <f t="shared" si="156"/>
        <v/>
      </c>
      <c r="Q520" s="75" t="str">
        <f t="shared" si="157"/>
        <v/>
      </c>
      <c r="R520" s="75" t="str">
        <f t="shared" si="158"/>
        <v/>
      </c>
    </row>
    <row r="521" spans="1:18">
      <c r="A521" s="79" t="str">
        <f>IF(C521="","",VLOOKUP('OPĆI DIO'!$C$3,'OPĆI DIO'!$L$6:$U$138,10,FALSE))</f>
        <v/>
      </c>
      <c r="B521" s="79" t="str">
        <f>IF(C521="","",VLOOKUP('OPĆI DIO'!$C$3,'OPĆI DIO'!$L$6:$U$138,9,FALSE))</f>
        <v/>
      </c>
      <c r="C521" s="85"/>
      <c r="D521" s="80" t="str">
        <f t="shared" si="154"/>
        <v/>
      </c>
      <c r="E521" s="85"/>
      <c r="F521" s="80" t="str">
        <f t="shared" si="159"/>
        <v/>
      </c>
      <c r="G521" s="118"/>
      <c r="H521" s="80" t="str">
        <f t="shared" si="160"/>
        <v/>
      </c>
      <c r="I521" s="80" t="str">
        <f t="shared" si="161"/>
        <v/>
      </c>
      <c r="J521" s="117"/>
      <c r="K521" s="117"/>
      <c r="L521" s="117"/>
      <c r="M521" s="84"/>
      <c r="O521" s="75" t="str">
        <f t="shared" si="155"/>
        <v/>
      </c>
      <c r="P521" s="75" t="str">
        <f t="shared" si="156"/>
        <v/>
      </c>
      <c r="Q521" s="75" t="str">
        <f t="shared" si="157"/>
        <v/>
      </c>
      <c r="R521" s="75" t="str">
        <f t="shared" si="158"/>
        <v/>
      </c>
    </row>
    <row r="522" spans="1:18">
      <c r="A522" s="79" t="str">
        <f>IF(C522="","",VLOOKUP('OPĆI DIO'!$C$3,'OPĆI DIO'!$L$6:$U$138,10,FALSE))</f>
        <v/>
      </c>
      <c r="B522" s="79" t="str">
        <f>IF(C522="","",VLOOKUP('OPĆI DIO'!$C$3,'OPĆI DIO'!$L$6:$U$138,9,FALSE))</f>
        <v/>
      </c>
      <c r="C522" s="85"/>
      <c r="D522" s="80" t="str">
        <f t="shared" si="154"/>
        <v/>
      </c>
      <c r="E522" s="85"/>
      <c r="F522" s="80" t="str">
        <f t="shared" si="159"/>
        <v/>
      </c>
      <c r="G522" s="118"/>
      <c r="H522" s="80" t="str">
        <f t="shared" si="160"/>
        <v/>
      </c>
      <c r="I522" s="80" t="str">
        <f t="shared" si="161"/>
        <v/>
      </c>
      <c r="J522" s="117"/>
      <c r="K522" s="117"/>
      <c r="L522" s="117"/>
      <c r="M522" s="84"/>
      <c r="O522" s="75" t="str">
        <f t="shared" si="155"/>
        <v/>
      </c>
      <c r="P522" s="75" t="str">
        <f t="shared" si="156"/>
        <v/>
      </c>
      <c r="Q522" s="75" t="str">
        <f t="shared" si="157"/>
        <v/>
      </c>
      <c r="R522" s="75" t="str">
        <f t="shared" si="158"/>
        <v/>
      </c>
    </row>
    <row r="523" spans="1:18">
      <c r="A523" s="79" t="str">
        <f>IF(C523="","",VLOOKUP('OPĆI DIO'!$C$3,'OPĆI DIO'!$L$6:$U$138,10,FALSE))</f>
        <v/>
      </c>
      <c r="B523" s="79" t="str">
        <f>IF(C523="","",VLOOKUP('OPĆI DIO'!$C$3,'OPĆI DIO'!$L$6:$U$138,9,FALSE))</f>
        <v/>
      </c>
      <c r="C523" s="85"/>
      <c r="D523" s="80" t="str">
        <f t="shared" ref="D523:D575" si="162">IFERROR(VLOOKUP(C523,$S$7:$T$48,2,FALSE),"")</f>
        <v/>
      </c>
      <c r="E523" s="85"/>
      <c r="F523" s="80" t="str">
        <f t="shared" si="159"/>
        <v/>
      </c>
      <c r="G523" s="118"/>
      <c r="H523" s="80" t="str">
        <f t="shared" si="160"/>
        <v/>
      </c>
      <c r="I523" s="80" t="str">
        <f t="shared" si="161"/>
        <v/>
      </c>
      <c r="J523" s="117"/>
      <c r="K523" s="117"/>
      <c r="L523" s="117"/>
      <c r="M523" s="84"/>
      <c r="O523" s="75" t="str">
        <f t="shared" si="155"/>
        <v/>
      </c>
      <c r="P523" s="75" t="str">
        <f t="shared" si="156"/>
        <v/>
      </c>
      <c r="Q523" s="75" t="str">
        <f t="shared" si="157"/>
        <v/>
      </c>
      <c r="R523" s="75" t="str">
        <f t="shared" si="158"/>
        <v/>
      </c>
    </row>
    <row r="524" spans="1:18">
      <c r="A524" s="79" t="str">
        <f>IF(C524="","",VLOOKUP('OPĆI DIO'!$C$3,'OPĆI DIO'!$L$6:$U$138,10,FALSE))</f>
        <v/>
      </c>
      <c r="B524" s="79" t="str">
        <f>IF(C524="","",VLOOKUP('OPĆI DIO'!$C$3,'OPĆI DIO'!$L$6:$U$138,9,FALSE))</f>
        <v/>
      </c>
      <c r="C524" s="85"/>
      <c r="D524" s="80" t="str">
        <f t="shared" si="162"/>
        <v/>
      </c>
      <c r="E524" s="85"/>
      <c r="F524" s="80" t="str">
        <f t="shared" si="159"/>
        <v/>
      </c>
      <c r="G524" s="118"/>
      <c r="H524" s="80" t="str">
        <f t="shared" si="160"/>
        <v/>
      </c>
      <c r="I524" s="80" t="str">
        <f t="shared" si="161"/>
        <v/>
      </c>
      <c r="J524" s="117"/>
      <c r="K524" s="117"/>
      <c r="L524" s="117"/>
      <c r="M524" s="84"/>
      <c r="O524" s="75" t="str">
        <f t="shared" si="155"/>
        <v/>
      </c>
      <c r="P524" s="75" t="str">
        <f t="shared" si="156"/>
        <v/>
      </c>
      <c r="Q524" s="75" t="str">
        <f t="shared" si="157"/>
        <v/>
      </c>
      <c r="R524" s="75" t="str">
        <f t="shared" si="158"/>
        <v/>
      </c>
    </row>
    <row r="525" spans="1:18">
      <c r="A525" s="79" t="str">
        <f>IF(C525="","",VLOOKUP('OPĆI DIO'!$C$3,'OPĆI DIO'!$L$6:$U$138,10,FALSE))</f>
        <v/>
      </c>
      <c r="B525" s="79" t="str">
        <f>IF(C525="","",VLOOKUP('OPĆI DIO'!$C$3,'OPĆI DIO'!$L$6:$U$138,9,FALSE))</f>
        <v/>
      </c>
      <c r="C525" s="85"/>
      <c r="D525" s="80" t="str">
        <f t="shared" si="162"/>
        <v/>
      </c>
      <c r="E525" s="85"/>
      <c r="F525" s="80" t="str">
        <f t="shared" si="159"/>
        <v/>
      </c>
      <c r="G525" s="118"/>
      <c r="H525" s="80" t="str">
        <f t="shared" si="160"/>
        <v/>
      </c>
      <c r="I525" s="80" t="str">
        <f t="shared" si="161"/>
        <v/>
      </c>
      <c r="J525" s="117"/>
      <c r="K525" s="117"/>
      <c r="L525" s="117"/>
      <c r="M525" s="84"/>
      <c r="O525" s="75" t="str">
        <f t="shared" si="155"/>
        <v/>
      </c>
      <c r="P525" s="75" t="str">
        <f t="shared" si="156"/>
        <v/>
      </c>
      <c r="Q525" s="75" t="str">
        <f t="shared" si="157"/>
        <v/>
      </c>
      <c r="R525" s="75" t="str">
        <f t="shared" si="158"/>
        <v/>
      </c>
    </row>
    <row r="526" spans="1:18">
      <c r="A526" s="79" t="str">
        <f>IF(C526="","",VLOOKUP('OPĆI DIO'!$C$3,'OPĆI DIO'!$L$6:$U$138,10,FALSE))</f>
        <v/>
      </c>
      <c r="B526" s="79" t="str">
        <f>IF(C526="","",VLOOKUP('OPĆI DIO'!$C$3,'OPĆI DIO'!$L$6:$U$138,9,FALSE))</f>
        <v/>
      </c>
      <c r="C526" s="85"/>
      <c r="D526" s="80" t="str">
        <f t="shared" si="162"/>
        <v/>
      </c>
      <c r="E526" s="85"/>
      <c r="F526" s="80" t="str">
        <f t="shared" si="159"/>
        <v/>
      </c>
      <c r="G526" s="118"/>
      <c r="H526" s="80" t="str">
        <f t="shared" si="160"/>
        <v/>
      </c>
      <c r="I526" s="80" t="str">
        <f t="shared" si="161"/>
        <v/>
      </c>
      <c r="J526" s="117"/>
      <c r="K526" s="117"/>
      <c r="L526" s="117"/>
      <c r="M526" s="84"/>
      <c r="O526" s="75" t="str">
        <f t="shared" ref="O526:O575" si="163">LEFT(E526,3)</f>
        <v/>
      </c>
      <c r="P526" s="75" t="str">
        <f t="shared" ref="P526:P575" si="164">LEFT(E526,2)</f>
        <v/>
      </c>
      <c r="Q526" s="75" t="str">
        <f t="shared" ref="Q526:Q575" si="165">LEFT(C526,3)</f>
        <v/>
      </c>
      <c r="R526" s="75" t="str">
        <f t="shared" ref="R526:R575" si="166">MID(I526,2,2)</f>
        <v/>
      </c>
    </row>
    <row r="527" spans="1:18">
      <c r="A527" s="79" t="str">
        <f>IF(C527="","",VLOOKUP('OPĆI DIO'!$C$3,'OPĆI DIO'!$L$6:$U$138,10,FALSE))</f>
        <v/>
      </c>
      <c r="B527" s="79" t="str">
        <f>IF(C527="","",VLOOKUP('OPĆI DIO'!$C$3,'OPĆI DIO'!$L$6:$U$138,9,FALSE))</f>
        <v/>
      </c>
      <c r="C527" s="85"/>
      <c r="D527" s="80" t="str">
        <f t="shared" si="162"/>
        <v/>
      </c>
      <c r="E527" s="85"/>
      <c r="F527" s="80" t="str">
        <f t="shared" si="159"/>
        <v/>
      </c>
      <c r="G527" s="118"/>
      <c r="H527" s="80" t="str">
        <f t="shared" si="160"/>
        <v/>
      </c>
      <c r="I527" s="80" t="str">
        <f t="shared" si="161"/>
        <v/>
      </c>
      <c r="J527" s="117"/>
      <c r="K527" s="117"/>
      <c r="L527" s="117"/>
      <c r="M527" s="84"/>
      <c r="O527" s="75" t="str">
        <f t="shared" si="163"/>
        <v/>
      </c>
      <c r="P527" s="75" t="str">
        <f t="shared" si="164"/>
        <v/>
      </c>
      <c r="Q527" s="75" t="str">
        <f t="shared" si="165"/>
        <v/>
      </c>
      <c r="R527" s="75" t="str">
        <f t="shared" si="166"/>
        <v/>
      </c>
    </row>
    <row r="528" spans="1:18">
      <c r="A528" s="79" t="str">
        <f>IF(C528="","",VLOOKUP('OPĆI DIO'!$C$3,'OPĆI DIO'!$L$6:$U$138,10,FALSE))</f>
        <v/>
      </c>
      <c r="B528" s="79" t="str">
        <f>IF(C528="","",VLOOKUP('OPĆI DIO'!$C$3,'OPĆI DIO'!$L$6:$U$138,9,FALSE))</f>
        <v/>
      </c>
      <c r="C528" s="85"/>
      <c r="D528" s="80" t="str">
        <f t="shared" si="162"/>
        <v/>
      </c>
      <c r="E528" s="85"/>
      <c r="F528" s="80" t="str">
        <f t="shared" si="159"/>
        <v/>
      </c>
      <c r="G528" s="118"/>
      <c r="H528" s="80" t="str">
        <f t="shared" si="160"/>
        <v/>
      </c>
      <c r="I528" s="80" t="str">
        <f t="shared" si="161"/>
        <v/>
      </c>
      <c r="J528" s="117"/>
      <c r="K528" s="117"/>
      <c r="L528" s="117"/>
      <c r="M528" s="84"/>
      <c r="O528" s="75" t="str">
        <f t="shared" si="163"/>
        <v/>
      </c>
      <c r="P528" s="75" t="str">
        <f t="shared" si="164"/>
        <v/>
      </c>
      <c r="Q528" s="75" t="str">
        <f t="shared" si="165"/>
        <v/>
      </c>
      <c r="R528" s="75" t="str">
        <f t="shared" si="166"/>
        <v/>
      </c>
    </row>
    <row r="529" spans="1:18">
      <c r="A529" s="79" t="str">
        <f>IF(C529="","",VLOOKUP('OPĆI DIO'!$C$3,'OPĆI DIO'!$L$6:$U$138,10,FALSE))</f>
        <v/>
      </c>
      <c r="B529" s="79" t="str">
        <f>IF(C529="","",VLOOKUP('OPĆI DIO'!$C$3,'OPĆI DIO'!$L$6:$U$138,9,FALSE))</f>
        <v/>
      </c>
      <c r="C529" s="85"/>
      <c r="D529" s="80" t="str">
        <f t="shared" si="162"/>
        <v/>
      </c>
      <c r="E529" s="85"/>
      <c r="F529" s="80" t="str">
        <f t="shared" si="159"/>
        <v/>
      </c>
      <c r="G529" s="118"/>
      <c r="H529" s="80" t="str">
        <f t="shared" si="160"/>
        <v/>
      </c>
      <c r="I529" s="80" t="str">
        <f t="shared" si="161"/>
        <v/>
      </c>
      <c r="J529" s="117"/>
      <c r="K529" s="117"/>
      <c r="L529" s="117"/>
      <c r="M529" s="84"/>
      <c r="O529" s="75" t="str">
        <f t="shared" si="163"/>
        <v/>
      </c>
      <c r="P529" s="75" t="str">
        <f t="shared" si="164"/>
        <v/>
      </c>
      <c r="Q529" s="75" t="str">
        <f t="shared" si="165"/>
        <v/>
      </c>
      <c r="R529" s="75" t="str">
        <f t="shared" si="166"/>
        <v/>
      </c>
    </row>
    <row r="530" spans="1:18">
      <c r="A530" s="79" t="str">
        <f>IF(C530="","",VLOOKUP('OPĆI DIO'!$C$3,'OPĆI DIO'!$L$6:$U$138,10,FALSE))</f>
        <v/>
      </c>
      <c r="B530" s="79" t="str">
        <f>IF(C530="","",VLOOKUP('OPĆI DIO'!$C$3,'OPĆI DIO'!$L$6:$U$138,9,FALSE))</f>
        <v/>
      </c>
      <c r="C530" s="85"/>
      <c r="D530" s="80" t="str">
        <f t="shared" si="162"/>
        <v/>
      </c>
      <c r="E530" s="85"/>
      <c r="F530" s="80" t="str">
        <f t="shared" si="159"/>
        <v/>
      </c>
      <c r="G530" s="118"/>
      <c r="H530" s="80" t="str">
        <f t="shared" si="160"/>
        <v/>
      </c>
      <c r="I530" s="80" t="str">
        <f t="shared" si="161"/>
        <v/>
      </c>
      <c r="J530" s="117"/>
      <c r="K530" s="117"/>
      <c r="L530" s="117"/>
      <c r="M530" s="84"/>
      <c r="O530" s="75" t="str">
        <f t="shared" si="163"/>
        <v/>
      </c>
      <c r="P530" s="75" t="str">
        <f t="shared" si="164"/>
        <v/>
      </c>
      <c r="Q530" s="75" t="str">
        <f t="shared" si="165"/>
        <v/>
      </c>
      <c r="R530" s="75" t="str">
        <f t="shared" si="166"/>
        <v/>
      </c>
    </row>
    <row r="531" spans="1:18">
      <c r="A531" s="79" t="str">
        <f>IF(C531="","",VLOOKUP('OPĆI DIO'!$C$3,'OPĆI DIO'!$L$6:$U$138,10,FALSE))</f>
        <v/>
      </c>
      <c r="B531" s="79" t="str">
        <f>IF(C531="","",VLOOKUP('OPĆI DIO'!$C$3,'OPĆI DIO'!$L$6:$U$138,9,FALSE))</f>
        <v/>
      </c>
      <c r="C531" s="85"/>
      <c r="D531" s="80" t="str">
        <f t="shared" si="162"/>
        <v/>
      </c>
      <c r="E531" s="85"/>
      <c r="F531" s="80" t="str">
        <f t="shared" si="159"/>
        <v/>
      </c>
      <c r="G531" s="118"/>
      <c r="H531" s="80" t="str">
        <f t="shared" si="160"/>
        <v/>
      </c>
      <c r="I531" s="80" t="str">
        <f t="shared" si="161"/>
        <v/>
      </c>
      <c r="J531" s="117"/>
      <c r="K531" s="117"/>
      <c r="L531" s="117"/>
      <c r="M531" s="84"/>
      <c r="O531" s="75" t="str">
        <f t="shared" si="163"/>
        <v/>
      </c>
      <c r="P531" s="75" t="str">
        <f t="shared" si="164"/>
        <v/>
      </c>
      <c r="Q531" s="75" t="str">
        <f t="shared" si="165"/>
        <v/>
      </c>
      <c r="R531" s="75" t="str">
        <f t="shared" si="166"/>
        <v/>
      </c>
    </row>
    <row r="532" spans="1:18">
      <c r="A532" s="79" t="str">
        <f>IF(C532="","",VLOOKUP('OPĆI DIO'!$C$3,'OPĆI DIO'!$L$6:$U$138,10,FALSE))</f>
        <v/>
      </c>
      <c r="B532" s="79" t="str">
        <f>IF(C532="","",VLOOKUP('OPĆI DIO'!$C$3,'OPĆI DIO'!$L$6:$U$138,9,FALSE))</f>
        <v/>
      </c>
      <c r="C532" s="85"/>
      <c r="D532" s="80" t="str">
        <f t="shared" si="162"/>
        <v/>
      </c>
      <c r="E532" s="85"/>
      <c r="F532" s="80" t="str">
        <f t="shared" si="159"/>
        <v/>
      </c>
      <c r="G532" s="118"/>
      <c r="H532" s="80" t="str">
        <f t="shared" si="160"/>
        <v/>
      </c>
      <c r="I532" s="80" t="str">
        <f t="shared" si="161"/>
        <v/>
      </c>
      <c r="J532" s="117"/>
      <c r="K532" s="117"/>
      <c r="L532" s="117"/>
      <c r="M532" s="84"/>
      <c r="O532" s="75" t="str">
        <f t="shared" si="163"/>
        <v/>
      </c>
      <c r="P532" s="75" t="str">
        <f t="shared" si="164"/>
        <v/>
      </c>
      <c r="Q532" s="75" t="str">
        <f t="shared" si="165"/>
        <v/>
      </c>
      <c r="R532" s="75" t="str">
        <f t="shared" si="166"/>
        <v/>
      </c>
    </row>
    <row r="533" spans="1:18">
      <c r="A533" s="79" t="str">
        <f>IF(C533="","",VLOOKUP('OPĆI DIO'!$C$3,'OPĆI DIO'!$L$6:$U$138,10,FALSE))</f>
        <v/>
      </c>
      <c r="B533" s="79" t="str">
        <f>IF(C533="","",VLOOKUP('OPĆI DIO'!$C$3,'OPĆI DIO'!$L$6:$U$138,9,FALSE))</f>
        <v/>
      </c>
      <c r="C533" s="85"/>
      <c r="D533" s="80" t="str">
        <f t="shared" si="162"/>
        <v/>
      </c>
      <c r="E533" s="85"/>
      <c r="F533" s="80" t="str">
        <f t="shared" si="159"/>
        <v/>
      </c>
      <c r="G533" s="118"/>
      <c r="H533" s="80" t="str">
        <f t="shared" si="160"/>
        <v/>
      </c>
      <c r="I533" s="80" t="str">
        <f t="shared" si="161"/>
        <v/>
      </c>
      <c r="J533" s="117"/>
      <c r="K533" s="117"/>
      <c r="L533" s="117"/>
      <c r="M533" s="84"/>
      <c r="O533" s="75" t="str">
        <f t="shared" si="163"/>
        <v/>
      </c>
      <c r="P533" s="75" t="str">
        <f t="shared" si="164"/>
        <v/>
      </c>
      <c r="Q533" s="75" t="str">
        <f t="shared" si="165"/>
        <v/>
      </c>
      <c r="R533" s="75" t="str">
        <f t="shared" si="166"/>
        <v/>
      </c>
    </row>
    <row r="534" spans="1:18">
      <c r="A534" s="79" t="str">
        <f>IF(C534="","",VLOOKUP('OPĆI DIO'!$C$3,'OPĆI DIO'!$L$6:$U$138,10,FALSE))</f>
        <v/>
      </c>
      <c r="B534" s="79" t="str">
        <f>IF(C534="","",VLOOKUP('OPĆI DIO'!$C$3,'OPĆI DIO'!$L$6:$U$138,9,FALSE))</f>
        <v/>
      </c>
      <c r="C534" s="85"/>
      <c r="D534" s="80" t="str">
        <f t="shared" si="162"/>
        <v/>
      </c>
      <c r="E534" s="85"/>
      <c r="F534" s="80" t="str">
        <f t="shared" si="159"/>
        <v/>
      </c>
      <c r="G534" s="118"/>
      <c r="H534" s="80" t="str">
        <f t="shared" si="160"/>
        <v/>
      </c>
      <c r="I534" s="80" t="str">
        <f t="shared" si="161"/>
        <v/>
      </c>
      <c r="J534" s="117"/>
      <c r="K534" s="117"/>
      <c r="L534" s="117"/>
      <c r="M534" s="84"/>
      <c r="O534" s="75" t="str">
        <f t="shared" si="163"/>
        <v/>
      </c>
      <c r="P534" s="75" t="str">
        <f t="shared" si="164"/>
        <v/>
      </c>
      <c r="Q534" s="75" t="str">
        <f t="shared" si="165"/>
        <v/>
      </c>
      <c r="R534" s="75" t="str">
        <f t="shared" si="166"/>
        <v/>
      </c>
    </row>
    <row r="535" spans="1:18">
      <c r="A535" s="79" t="str">
        <f>IF(C535="","",VLOOKUP('OPĆI DIO'!$C$3,'OPĆI DIO'!$L$6:$U$138,10,FALSE))</f>
        <v/>
      </c>
      <c r="B535" s="79" t="str">
        <f>IF(C535="","",VLOOKUP('OPĆI DIO'!$C$3,'OPĆI DIO'!$L$6:$U$138,9,FALSE))</f>
        <v/>
      </c>
      <c r="C535" s="85"/>
      <c r="D535" s="80" t="str">
        <f t="shared" si="162"/>
        <v/>
      </c>
      <c r="E535" s="85"/>
      <c r="F535" s="80" t="str">
        <f t="shared" si="159"/>
        <v/>
      </c>
      <c r="G535" s="118"/>
      <c r="H535" s="80" t="str">
        <f t="shared" si="160"/>
        <v/>
      </c>
      <c r="I535" s="80" t="str">
        <f t="shared" si="161"/>
        <v/>
      </c>
      <c r="J535" s="117"/>
      <c r="K535" s="117"/>
      <c r="L535" s="117"/>
      <c r="M535" s="84"/>
      <c r="O535" s="75" t="str">
        <f t="shared" si="163"/>
        <v/>
      </c>
      <c r="P535" s="75" t="str">
        <f t="shared" si="164"/>
        <v/>
      </c>
      <c r="Q535" s="75" t="str">
        <f t="shared" si="165"/>
        <v/>
      </c>
      <c r="R535" s="75" t="str">
        <f t="shared" si="166"/>
        <v/>
      </c>
    </row>
    <row r="536" spans="1:18">
      <c r="A536" s="79" t="str">
        <f>IF(C536="","",VLOOKUP('OPĆI DIO'!$C$3,'OPĆI DIO'!$L$6:$U$138,10,FALSE))</f>
        <v/>
      </c>
      <c r="B536" s="79" t="str">
        <f>IF(C536="","",VLOOKUP('OPĆI DIO'!$C$3,'OPĆI DIO'!$L$6:$U$138,9,FALSE))</f>
        <v/>
      </c>
      <c r="C536" s="85"/>
      <c r="D536" s="80" t="str">
        <f t="shared" si="162"/>
        <v/>
      </c>
      <c r="E536" s="85"/>
      <c r="F536" s="80" t="str">
        <f t="shared" si="159"/>
        <v/>
      </c>
      <c r="G536" s="118"/>
      <c r="H536" s="80" t="str">
        <f t="shared" si="160"/>
        <v/>
      </c>
      <c r="I536" s="80" t="str">
        <f t="shared" si="161"/>
        <v/>
      </c>
      <c r="J536" s="117"/>
      <c r="K536" s="117"/>
      <c r="L536" s="117"/>
      <c r="M536" s="84"/>
      <c r="O536" s="75" t="str">
        <f t="shared" si="163"/>
        <v/>
      </c>
      <c r="P536" s="75" t="str">
        <f t="shared" si="164"/>
        <v/>
      </c>
      <c r="Q536" s="75" t="str">
        <f t="shared" si="165"/>
        <v/>
      </c>
      <c r="R536" s="75" t="str">
        <f t="shared" si="166"/>
        <v/>
      </c>
    </row>
    <row r="537" spans="1:18">
      <c r="A537" s="79" t="str">
        <f>IF(C537="","",VLOOKUP('OPĆI DIO'!$C$3,'OPĆI DIO'!$L$6:$U$138,10,FALSE))</f>
        <v/>
      </c>
      <c r="B537" s="79" t="str">
        <f>IF(C537="","",VLOOKUP('OPĆI DIO'!$C$3,'OPĆI DIO'!$L$6:$U$138,9,FALSE))</f>
        <v/>
      </c>
      <c r="C537" s="85"/>
      <c r="D537" s="80" t="str">
        <f t="shared" si="162"/>
        <v/>
      </c>
      <c r="E537" s="85"/>
      <c r="F537" s="80" t="str">
        <f t="shared" si="159"/>
        <v/>
      </c>
      <c r="G537" s="118"/>
      <c r="H537" s="80" t="str">
        <f t="shared" si="160"/>
        <v/>
      </c>
      <c r="I537" s="80" t="str">
        <f t="shared" si="161"/>
        <v/>
      </c>
      <c r="J537" s="117"/>
      <c r="K537" s="117"/>
      <c r="L537" s="117"/>
      <c r="M537" s="84"/>
      <c r="O537" s="75" t="str">
        <f t="shared" si="163"/>
        <v/>
      </c>
      <c r="P537" s="75" t="str">
        <f t="shared" si="164"/>
        <v/>
      </c>
      <c r="Q537" s="75" t="str">
        <f t="shared" si="165"/>
        <v/>
      </c>
      <c r="R537" s="75" t="str">
        <f t="shared" si="166"/>
        <v/>
      </c>
    </row>
    <row r="538" spans="1:18">
      <c r="A538" s="79" t="str">
        <f>IF(C538="","",VLOOKUP('OPĆI DIO'!$C$3,'OPĆI DIO'!$L$6:$U$138,10,FALSE))</f>
        <v/>
      </c>
      <c r="B538" s="79" t="str">
        <f>IF(C538="","",VLOOKUP('OPĆI DIO'!$C$3,'OPĆI DIO'!$L$6:$U$138,9,FALSE))</f>
        <v/>
      </c>
      <c r="C538" s="85"/>
      <c r="D538" s="80" t="str">
        <f t="shared" si="162"/>
        <v/>
      </c>
      <c r="E538" s="85"/>
      <c r="F538" s="80" t="str">
        <f t="shared" si="159"/>
        <v/>
      </c>
      <c r="G538" s="118"/>
      <c r="H538" s="80" t="str">
        <f t="shared" si="160"/>
        <v/>
      </c>
      <c r="I538" s="80" t="str">
        <f t="shared" si="161"/>
        <v/>
      </c>
      <c r="J538" s="117"/>
      <c r="K538" s="117"/>
      <c r="L538" s="117"/>
      <c r="M538" s="84"/>
      <c r="O538" s="75" t="str">
        <f t="shared" si="163"/>
        <v/>
      </c>
      <c r="P538" s="75" t="str">
        <f t="shared" si="164"/>
        <v/>
      </c>
      <c r="Q538" s="75" t="str">
        <f t="shared" si="165"/>
        <v/>
      </c>
      <c r="R538" s="75" t="str">
        <f t="shared" si="166"/>
        <v/>
      </c>
    </row>
    <row r="539" spans="1:18">
      <c r="A539" s="79" t="str">
        <f>IF(C539="","",VLOOKUP('OPĆI DIO'!$C$3,'OPĆI DIO'!$L$6:$U$138,10,FALSE))</f>
        <v/>
      </c>
      <c r="B539" s="79" t="str">
        <f>IF(C539="","",VLOOKUP('OPĆI DIO'!$C$3,'OPĆI DIO'!$L$6:$U$138,9,FALSE))</f>
        <v/>
      </c>
      <c r="C539" s="85"/>
      <c r="D539" s="80" t="str">
        <f t="shared" si="162"/>
        <v/>
      </c>
      <c r="E539" s="85"/>
      <c r="F539" s="80" t="str">
        <f t="shared" si="159"/>
        <v/>
      </c>
      <c r="G539" s="118"/>
      <c r="H539" s="80" t="str">
        <f t="shared" si="160"/>
        <v/>
      </c>
      <c r="I539" s="80" t="str">
        <f t="shared" si="161"/>
        <v/>
      </c>
      <c r="J539" s="117"/>
      <c r="K539" s="117"/>
      <c r="L539" s="117"/>
      <c r="M539" s="84"/>
      <c r="O539" s="75" t="str">
        <f t="shared" si="163"/>
        <v/>
      </c>
      <c r="P539" s="75" t="str">
        <f t="shared" si="164"/>
        <v/>
      </c>
      <c r="Q539" s="75" t="str">
        <f t="shared" si="165"/>
        <v/>
      </c>
      <c r="R539" s="75" t="str">
        <f t="shared" si="166"/>
        <v/>
      </c>
    </row>
    <row r="540" spans="1:18">
      <c r="A540" s="79" t="str">
        <f>IF(C540="","",VLOOKUP('OPĆI DIO'!$C$3,'OPĆI DIO'!$L$6:$U$138,10,FALSE))</f>
        <v/>
      </c>
      <c r="B540" s="79" t="str">
        <f>IF(C540="","",VLOOKUP('OPĆI DIO'!$C$3,'OPĆI DIO'!$L$6:$U$138,9,FALSE))</f>
        <v/>
      </c>
      <c r="C540" s="85"/>
      <c r="D540" s="80" t="str">
        <f t="shared" si="162"/>
        <v/>
      </c>
      <c r="E540" s="85"/>
      <c r="F540" s="80" t="str">
        <f t="shared" si="159"/>
        <v/>
      </c>
      <c r="G540" s="118"/>
      <c r="H540" s="80" t="str">
        <f t="shared" si="160"/>
        <v/>
      </c>
      <c r="I540" s="80" t="str">
        <f t="shared" si="161"/>
        <v/>
      </c>
      <c r="J540" s="117"/>
      <c r="K540" s="117"/>
      <c r="L540" s="117"/>
      <c r="M540" s="84"/>
      <c r="O540" s="75" t="str">
        <f t="shared" si="163"/>
        <v/>
      </c>
      <c r="P540" s="75" t="str">
        <f t="shared" si="164"/>
        <v/>
      </c>
      <c r="Q540" s="75" t="str">
        <f t="shared" si="165"/>
        <v/>
      </c>
      <c r="R540" s="75" t="str">
        <f t="shared" si="166"/>
        <v/>
      </c>
    </row>
    <row r="541" spans="1:18">
      <c r="A541" s="79" t="str">
        <f>IF(C541="","",VLOOKUP('OPĆI DIO'!$C$3,'OPĆI DIO'!$L$6:$U$138,10,FALSE))</f>
        <v/>
      </c>
      <c r="B541" s="79" t="str">
        <f>IF(C541="","",VLOOKUP('OPĆI DIO'!$C$3,'OPĆI DIO'!$L$6:$U$138,9,FALSE))</f>
        <v/>
      </c>
      <c r="C541" s="85"/>
      <c r="D541" s="80" t="str">
        <f t="shared" si="162"/>
        <v/>
      </c>
      <c r="E541" s="85"/>
      <c r="F541" s="80" t="str">
        <f t="shared" si="159"/>
        <v/>
      </c>
      <c r="G541" s="118"/>
      <c r="H541" s="80" t="str">
        <f t="shared" si="160"/>
        <v/>
      </c>
      <c r="I541" s="80" t="str">
        <f t="shared" si="161"/>
        <v/>
      </c>
      <c r="J541" s="117"/>
      <c r="K541" s="117"/>
      <c r="L541" s="117"/>
      <c r="M541" s="84"/>
      <c r="O541" s="75" t="str">
        <f t="shared" si="163"/>
        <v/>
      </c>
      <c r="P541" s="75" t="str">
        <f t="shared" si="164"/>
        <v/>
      </c>
      <c r="Q541" s="75" t="str">
        <f t="shared" si="165"/>
        <v/>
      </c>
      <c r="R541" s="75" t="str">
        <f t="shared" si="166"/>
        <v/>
      </c>
    </row>
    <row r="542" spans="1:18">
      <c r="A542" s="79" t="str">
        <f>IF(C542="","",VLOOKUP('OPĆI DIO'!$C$3,'OPĆI DIO'!$L$6:$U$138,10,FALSE))</f>
        <v/>
      </c>
      <c r="B542" s="79" t="str">
        <f>IF(C542="","",VLOOKUP('OPĆI DIO'!$C$3,'OPĆI DIO'!$L$6:$U$138,9,FALSE))</f>
        <v/>
      </c>
      <c r="C542" s="85"/>
      <c r="D542" s="80" t="str">
        <f t="shared" si="162"/>
        <v/>
      </c>
      <c r="E542" s="85"/>
      <c r="F542" s="80" t="str">
        <f t="shared" si="159"/>
        <v/>
      </c>
      <c r="G542" s="118"/>
      <c r="H542" s="80" t="str">
        <f t="shared" si="160"/>
        <v/>
      </c>
      <c r="I542" s="80" t="str">
        <f t="shared" si="161"/>
        <v/>
      </c>
      <c r="J542" s="117"/>
      <c r="K542" s="117"/>
      <c r="L542" s="117"/>
      <c r="M542" s="84"/>
      <c r="O542" s="75" t="str">
        <f t="shared" si="163"/>
        <v/>
      </c>
      <c r="P542" s="75" t="str">
        <f t="shared" si="164"/>
        <v/>
      </c>
      <c r="Q542" s="75" t="str">
        <f t="shared" si="165"/>
        <v/>
      </c>
      <c r="R542" s="75" t="str">
        <f t="shared" si="166"/>
        <v/>
      </c>
    </row>
    <row r="543" spans="1:18">
      <c r="A543" s="79" t="str">
        <f>IF(C543="","",VLOOKUP('OPĆI DIO'!$C$3,'OPĆI DIO'!$L$6:$U$138,10,FALSE))</f>
        <v/>
      </c>
      <c r="B543" s="79" t="str">
        <f>IF(C543="","",VLOOKUP('OPĆI DIO'!$C$3,'OPĆI DIO'!$L$6:$U$138,9,FALSE))</f>
        <v/>
      </c>
      <c r="C543" s="85"/>
      <c r="D543" s="80" t="str">
        <f t="shared" si="162"/>
        <v/>
      </c>
      <c r="E543" s="85"/>
      <c r="F543" s="80" t="str">
        <f t="shared" si="159"/>
        <v/>
      </c>
      <c r="G543" s="118"/>
      <c r="H543" s="80" t="str">
        <f t="shared" si="160"/>
        <v/>
      </c>
      <c r="I543" s="80" t="str">
        <f t="shared" si="161"/>
        <v/>
      </c>
      <c r="J543" s="117"/>
      <c r="K543" s="117"/>
      <c r="L543" s="117"/>
      <c r="M543" s="84"/>
      <c r="O543" s="75" t="str">
        <f t="shared" si="163"/>
        <v/>
      </c>
      <c r="P543" s="75" t="str">
        <f t="shared" si="164"/>
        <v/>
      </c>
      <c r="Q543" s="75" t="str">
        <f t="shared" si="165"/>
        <v/>
      </c>
      <c r="R543" s="75" t="str">
        <f t="shared" si="166"/>
        <v/>
      </c>
    </row>
    <row r="544" spans="1:18">
      <c r="A544" s="79" t="str">
        <f>IF(C544="","",VLOOKUP('OPĆI DIO'!$C$3,'OPĆI DIO'!$L$6:$U$138,10,FALSE))</f>
        <v/>
      </c>
      <c r="B544" s="79" t="str">
        <f>IF(C544="","",VLOOKUP('OPĆI DIO'!$C$3,'OPĆI DIO'!$L$6:$U$138,9,FALSE))</f>
        <v/>
      </c>
      <c r="C544" s="85"/>
      <c r="D544" s="80" t="str">
        <f t="shared" si="162"/>
        <v/>
      </c>
      <c r="E544" s="85"/>
      <c r="F544" s="80" t="str">
        <f t="shared" si="159"/>
        <v/>
      </c>
      <c r="G544" s="118"/>
      <c r="H544" s="80" t="str">
        <f t="shared" si="160"/>
        <v/>
      </c>
      <c r="I544" s="80" t="str">
        <f t="shared" si="161"/>
        <v/>
      </c>
      <c r="J544" s="117"/>
      <c r="K544" s="117"/>
      <c r="L544" s="117"/>
      <c r="M544" s="84"/>
      <c r="O544" s="75" t="str">
        <f t="shared" si="163"/>
        <v/>
      </c>
      <c r="P544" s="75" t="str">
        <f t="shared" si="164"/>
        <v/>
      </c>
      <c r="Q544" s="75" t="str">
        <f t="shared" si="165"/>
        <v/>
      </c>
      <c r="R544" s="75" t="str">
        <f t="shared" si="166"/>
        <v/>
      </c>
    </row>
    <row r="545" spans="1:18">
      <c r="A545" s="79" t="str">
        <f>IF(C545="","",VLOOKUP('OPĆI DIO'!$C$3,'OPĆI DIO'!$L$6:$U$138,10,FALSE))</f>
        <v/>
      </c>
      <c r="B545" s="79" t="str">
        <f>IF(C545="","",VLOOKUP('OPĆI DIO'!$C$3,'OPĆI DIO'!$L$6:$U$138,9,FALSE))</f>
        <v/>
      </c>
      <c r="C545" s="85"/>
      <c r="D545" s="80" t="str">
        <f t="shared" si="162"/>
        <v/>
      </c>
      <c r="E545" s="85"/>
      <c r="F545" s="80" t="str">
        <f t="shared" si="159"/>
        <v/>
      </c>
      <c r="G545" s="118"/>
      <c r="H545" s="80" t="str">
        <f t="shared" si="160"/>
        <v/>
      </c>
      <c r="I545" s="80" t="str">
        <f t="shared" si="161"/>
        <v/>
      </c>
      <c r="J545" s="117"/>
      <c r="K545" s="117"/>
      <c r="L545" s="117"/>
      <c r="M545" s="84"/>
      <c r="O545" s="75" t="str">
        <f t="shared" si="163"/>
        <v/>
      </c>
      <c r="P545" s="75" t="str">
        <f t="shared" si="164"/>
        <v/>
      </c>
      <c r="Q545" s="75" t="str">
        <f t="shared" si="165"/>
        <v/>
      </c>
      <c r="R545" s="75" t="str">
        <f t="shared" si="166"/>
        <v/>
      </c>
    </row>
    <row r="546" spans="1:18">
      <c r="A546" s="79" t="str">
        <f>IF(C546="","",VLOOKUP('OPĆI DIO'!$C$3,'OPĆI DIO'!$L$6:$U$138,10,FALSE))</f>
        <v/>
      </c>
      <c r="B546" s="79" t="str">
        <f>IF(C546="","",VLOOKUP('OPĆI DIO'!$C$3,'OPĆI DIO'!$L$6:$U$138,9,FALSE))</f>
        <v/>
      </c>
      <c r="C546" s="85"/>
      <c r="D546" s="80" t="str">
        <f t="shared" si="162"/>
        <v/>
      </c>
      <c r="E546" s="85"/>
      <c r="F546" s="80" t="str">
        <f t="shared" si="159"/>
        <v/>
      </c>
      <c r="G546" s="118"/>
      <c r="H546" s="80" t="str">
        <f t="shared" si="160"/>
        <v/>
      </c>
      <c r="I546" s="80" t="str">
        <f t="shared" si="161"/>
        <v/>
      </c>
      <c r="J546" s="117"/>
      <c r="K546" s="117"/>
      <c r="L546" s="117"/>
      <c r="M546" s="84"/>
      <c r="O546" s="75" t="str">
        <f t="shared" si="163"/>
        <v/>
      </c>
      <c r="P546" s="75" t="str">
        <f t="shared" si="164"/>
        <v/>
      </c>
      <c r="Q546" s="75" t="str">
        <f t="shared" si="165"/>
        <v/>
      </c>
      <c r="R546" s="75" t="str">
        <f t="shared" si="166"/>
        <v/>
      </c>
    </row>
    <row r="547" spans="1:18">
      <c r="A547" s="79" t="str">
        <f>IF(C547="","",VLOOKUP('OPĆI DIO'!$C$3,'OPĆI DIO'!$L$6:$U$138,10,FALSE))</f>
        <v/>
      </c>
      <c r="B547" s="79" t="str">
        <f>IF(C547="","",VLOOKUP('OPĆI DIO'!$C$3,'OPĆI DIO'!$L$6:$U$138,9,FALSE))</f>
        <v/>
      </c>
      <c r="C547" s="85"/>
      <c r="D547" s="80" t="str">
        <f t="shared" si="162"/>
        <v/>
      </c>
      <c r="E547" s="85"/>
      <c r="F547" s="80" t="str">
        <f t="shared" si="159"/>
        <v/>
      </c>
      <c r="G547" s="118"/>
      <c r="H547" s="80" t="str">
        <f t="shared" si="160"/>
        <v/>
      </c>
      <c r="I547" s="80" t="str">
        <f t="shared" si="161"/>
        <v/>
      </c>
      <c r="J547" s="117"/>
      <c r="K547" s="117"/>
      <c r="L547" s="117"/>
      <c r="M547" s="84"/>
      <c r="O547" s="75" t="str">
        <f t="shared" si="163"/>
        <v/>
      </c>
      <c r="P547" s="75" t="str">
        <f t="shared" si="164"/>
        <v/>
      </c>
      <c r="Q547" s="75" t="str">
        <f t="shared" si="165"/>
        <v/>
      </c>
      <c r="R547" s="75" t="str">
        <f t="shared" si="166"/>
        <v/>
      </c>
    </row>
    <row r="548" spans="1:18">
      <c r="A548" s="79" t="str">
        <f>IF(C548="","",VLOOKUP('OPĆI DIO'!$C$3,'OPĆI DIO'!$L$6:$U$138,10,FALSE))</f>
        <v/>
      </c>
      <c r="B548" s="79" t="str">
        <f>IF(C548="","",VLOOKUP('OPĆI DIO'!$C$3,'OPĆI DIO'!$L$6:$U$138,9,FALSE))</f>
        <v/>
      </c>
      <c r="C548" s="85"/>
      <c r="D548" s="80" t="str">
        <f t="shared" si="162"/>
        <v/>
      </c>
      <c r="E548" s="85"/>
      <c r="F548" s="80" t="str">
        <f t="shared" si="159"/>
        <v/>
      </c>
      <c r="G548" s="118"/>
      <c r="H548" s="80" t="str">
        <f t="shared" si="160"/>
        <v/>
      </c>
      <c r="I548" s="80" t="str">
        <f t="shared" si="161"/>
        <v/>
      </c>
      <c r="J548" s="117"/>
      <c r="K548" s="117"/>
      <c r="L548" s="117"/>
      <c r="M548" s="84"/>
      <c r="O548" s="75" t="str">
        <f t="shared" si="163"/>
        <v/>
      </c>
      <c r="P548" s="75" t="str">
        <f t="shared" si="164"/>
        <v/>
      </c>
      <c r="Q548" s="75" t="str">
        <f t="shared" si="165"/>
        <v/>
      </c>
      <c r="R548" s="75" t="str">
        <f t="shared" si="166"/>
        <v/>
      </c>
    </row>
    <row r="549" spans="1:18">
      <c r="A549" s="79" t="str">
        <f>IF(C549="","",VLOOKUP('OPĆI DIO'!$C$3,'OPĆI DIO'!$L$6:$U$138,10,FALSE))</f>
        <v/>
      </c>
      <c r="B549" s="79" t="str">
        <f>IF(C549="","",VLOOKUP('OPĆI DIO'!$C$3,'OPĆI DIO'!$L$6:$U$138,9,FALSE))</f>
        <v/>
      </c>
      <c r="C549" s="85"/>
      <c r="D549" s="80" t="str">
        <f t="shared" si="162"/>
        <v/>
      </c>
      <c r="E549" s="85"/>
      <c r="F549" s="80" t="str">
        <f t="shared" si="159"/>
        <v/>
      </c>
      <c r="G549" s="118"/>
      <c r="H549" s="80" t="str">
        <f t="shared" si="160"/>
        <v/>
      </c>
      <c r="I549" s="80" t="str">
        <f t="shared" si="161"/>
        <v/>
      </c>
      <c r="J549" s="117"/>
      <c r="K549" s="117"/>
      <c r="L549" s="117"/>
      <c r="M549" s="84"/>
      <c r="O549" s="75" t="str">
        <f t="shared" si="163"/>
        <v/>
      </c>
      <c r="P549" s="75" t="str">
        <f t="shared" si="164"/>
        <v/>
      </c>
      <c r="Q549" s="75" t="str">
        <f t="shared" si="165"/>
        <v/>
      </c>
      <c r="R549" s="75" t="str">
        <f t="shared" si="166"/>
        <v/>
      </c>
    </row>
    <row r="550" spans="1:18">
      <c r="A550" s="79" t="str">
        <f>IF(C550="","",VLOOKUP('OPĆI DIO'!$C$3,'OPĆI DIO'!$L$6:$U$138,10,FALSE))</f>
        <v/>
      </c>
      <c r="B550" s="79" t="str">
        <f>IF(C550="","",VLOOKUP('OPĆI DIO'!$C$3,'OPĆI DIO'!$L$6:$U$138,9,FALSE))</f>
        <v/>
      </c>
      <c r="C550" s="85"/>
      <c r="D550" s="80" t="str">
        <f t="shared" si="162"/>
        <v/>
      </c>
      <c r="E550" s="85"/>
      <c r="F550" s="80" t="str">
        <f t="shared" si="159"/>
        <v/>
      </c>
      <c r="G550" s="118"/>
      <c r="H550" s="80" t="str">
        <f t="shared" si="160"/>
        <v/>
      </c>
      <c r="I550" s="80" t="str">
        <f t="shared" si="161"/>
        <v/>
      </c>
      <c r="J550" s="117"/>
      <c r="K550" s="117"/>
      <c r="L550" s="117"/>
      <c r="M550" s="84"/>
      <c r="O550" s="75" t="str">
        <f t="shared" si="163"/>
        <v/>
      </c>
      <c r="P550" s="75" t="str">
        <f t="shared" si="164"/>
        <v/>
      </c>
      <c r="Q550" s="75" t="str">
        <f t="shared" si="165"/>
        <v/>
      </c>
      <c r="R550" s="75" t="str">
        <f t="shared" si="166"/>
        <v/>
      </c>
    </row>
    <row r="551" spans="1:18">
      <c r="A551" s="79" t="str">
        <f>IF(C551="","",VLOOKUP('OPĆI DIO'!$C$3,'OPĆI DIO'!$L$6:$U$138,10,FALSE))</f>
        <v/>
      </c>
      <c r="B551" s="79" t="str">
        <f>IF(C551="","",VLOOKUP('OPĆI DIO'!$C$3,'OPĆI DIO'!$L$6:$U$138,9,FALSE))</f>
        <v/>
      </c>
      <c r="C551" s="85"/>
      <c r="D551" s="80" t="str">
        <f t="shared" si="162"/>
        <v/>
      </c>
      <c r="E551" s="85"/>
      <c r="F551" s="80" t="str">
        <f t="shared" si="159"/>
        <v/>
      </c>
      <c r="G551" s="118"/>
      <c r="H551" s="80" t="str">
        <f t="shared" si="160"/>
        <v/>
      </c>
      <c r="I551" s="80" t="str">
        <f t="shared" si="161"/>
        <v/>
      </c>
      <c r="J551" s="117"/>
      <c r="K551" s="117"/>
      <c r="L551" s="117"/>
      <c r="M551" s="84"/>
      <c r="O551" s="75" t="str">
        <f t="shared" si="163"/>
        <v/>
      </c>
      <c r="P551" s="75" t="str">
        <f t="shared" si="164"/>
        <v/>
      </c>
      <c r="Q551" s="75" t="str">
        <f t="shared" si="165"/>
        <v/>
      </c>
      <c r="R551" s="75" t="str">
        <f t="shared" si="166"/>
        <v/>
      </c>
    </row>
    <row r="552" spans="1:18">
      <c r="A552" s="79" t="str">
        <f>IF(C552="","",VLOOKUP('OPĆI DIO'!$C$3,'OPĆI DIO'!$L$6:$U$138,10,FALSE))</f>
        <v/>
      </c>
      <c r="B552" s="79" t="str">
        <f>IF(C552="","",VLOOKUP('OPĆI DIO'!$C$3,'OPĆI DIO'!$L$6:$U$138,9,FALSE))</f>
        <v/>
      </c>
      <c r="C552" s="85"/>
      <c r="D552" s="80" t="str">
        <f t="shared" si="162"/>
        <v/>
      </c>
      <c r="E552" s="85"/>
      <c r="F552" s="80" t="str">
        <f t="shared" si="159"/>
        <v/>
      </c>
      <c r="G552" s="118"/>
      <c r="H552" s="80" t="str">
        <f t="shared" si="160"/>
        <v/>
      </c>
      <c r="I552" s="80" t="str">
        <f t="shared" si="161"/>
        <v/>
      </c>
      <c r="J552" s="117"/>
      <c r="K552" s="117"/>
      <c r="L552" s="117"/>
      <c r="M552" s="84"/>
      <c r="O552" s="75" t="str">
        <f t="shared" si="163"/>
        <v/>
      </c>
      <c r="P552" s="75" t="str">
        <f t="shared" si="164"/>
        <v/>
      </c>
      <c r="Q552" s="75" t="str">
        <f t="shared" si="165"/>
        <v/>
      </c>
      <c r="R552" s="75" t="str">
        <f t="shared" si="166"/>
        <v/>
      </c>
    </row>
    <row r="553" spans="1:18">
      <c r="A553" s="79" t="str">
        <f>IF(C553="","",VLOOKUP('OPĆI DIO'!$C$3,'OPĆI DIO'!$L$6:$U$138,10,FALSE))</f>
        <v/>
      </c>
      <c r="B553" s="79" t="str">
        <f>IF(C553="","",VLOOKUP('OPĆI DIO'!$C$3,'OPĆI DIO'!$L$6:$U$138,9,FALSE))</f>
        <v/>
      </c>
      <c r="C553" s="85"/>
      <c r="D553" s="80" t="str">
        <f t="shared" si="162"/>
        <v/>
      </c>
      <c r="E553" s="85"/>
      <c r="F553" s="80" t="str">
        <f t="shared" si="159"/>
        <v/>
      </c>
      <c r="G553" s="118"/>
      <c r="H553" s="80" t="str">
        <f t="shared" si="160"/>
        <v/>
      </c>
      <c r="I553" s="80" t="str">
        <f t="shared" si="161"/>
        <v/>
      </c>
      <c r="J553" s="117"/>
      <c r="K553" s="117"/>
      <c r="L553" s="117"/>
      <c r="M553" s="84"/>
      <c r="O553" s="75" t="str">
        <f t="shared" si="163"/>
        <v/>
      </c>
      <c r="P553" s="75" t="str">
        <f t="shared" si="164"/>
        <v/>
      </c>
      <c r="Q553" s="75" t="str">
        <f t="shared" si="165"/>
        <v/>
      </c>
      <c r="R553" s="75" t="str">
        <f t="shared" si="166"/>
        <v/>
      </c>
    </row>
    <row r="554" spans="1:18">
      <c r="A554" s="79" t="str">
        <f>IF(C554="","",VLOOKUP('OPĆI DIO'!$C$3,'OPĆI DIO'!$L$6:$U$138,10,FALSE))</f>
        <v/>
      </c>
      <c r="B554" s="79" t="str">
        <f>IF(C554="","",VLOOKUP('OPĆI DIO'!$C$3,'OPĆI DIO'!$L$6:$U$138,9,FALSE))</f>
        <v/>
      </c>
      <c r="C554" s="85"/>
      <c r="D554" s="80" t="str">
        <f t="shared" si="162"/>
        <v/>
      </c>
      <c r="E554" s="85"/>
      <c r="F554" s="80" t="str">
        <f t="shared" si="159"/>
        <v/>
      </c>
      <c r="G554" s="118"/>
      <c r="H554" s="80" t="str">
        <f t="shared" si="160"/>
        <v/>
      </c>
      <c r="I554" s="80" t="str">
        <f t="shared" si="161"/>
        <v/>
      </c>
      <c r="J554" s="117"/>
      <c r="K554" s="117"/>
      <c r="L554" s="117"/>
      <c r="M554" s="84"/>
      <c r="O554" s="75" t="str">
        <f t="shared" si="163"/>
        <v/>
      </c>
      <c r="P554" s="75" t="str">
        <f t="shared" si="164"/>
        <v/>
      </c>
      <c r="Q554" s="75" t="str">
        <f t="shared" si="165"/>
        <v/>
      </c>
      <c r="R554" s="75" t="str">
        <f t="shared" si="166"/>
        <v/>
      </c>
    </row>
    <row r="555" spans="1:18">
      <c r="A555" s="79" t="str">
        <f>IF(C555="","",VLOOKUP('OPĆI DIO'!$C$3,'OPĆI DIO'!$L$6:$U$138,10,FALSE))</f>
        <v/>
      </c>
      <c r="B555" s="79" t="str">
        <f>IF(C555="","",VLOOKUP('OPĆI DIO'!$C$3,'OPĆI DIO'!$L$6:$U$138,9,FALSE))</f>
        <v/>
      </c>
      <c r="C555" s="85"/>
      <c r="D555" s="80" t="str">
        <f t="shared" si="162"/>
        <v/>
      </c>
      <c r="E555" s="85"/>
      <c r="F555" s="80" t="str">
        <f t="shared" si="159"/>
        <v/>
      </c>
      <c r="G555" s="118"/>
      <c r="H555" s="80" t="str">
        <f t="shared" si="160"/>
        <v/>
      </c>
      <c r="I555" s="80" t="str">
        <f t="shared" si="161"/>
        <v/>
      </c>
      <c r="J555" s="117"/>
      <c r="K555" s="117"/>
      <c r="L555" s="117"/>
      <c r="M555" s="84"/>
      <c r="O555" s="75" t="str">
        <f t="shared" si="163"/>
        <v/>
      </c>
      <c r="P555" s="75" t="str">
        <f t="shared" si="164"/>
        <v/>
      </c>
      <c r="Q555" s="75" t="str">
        <f t="shared" si="165"/>
        <v/>
      </c>
      <c r="R555" s="75" t="str">
        <f t="shared" si="166"/>
        <v/>
      </c>
    </row>
    <row r="556" spans="1:18">
      <c r="A556" s="79" t="str">
        <f>IF(C556="","",VLOOKUP('OPĆI DIO'!$C$3,'OPĆI DIO'!$L$6:$U$138,10,FALSE))</f>
        <v/>
      </c>
      <c r="B556" s="79" t="str">
        <f>IF(C556="","",VLOOKUP('OPĆI DIO'!$C$3,'OPĆI DIO'!$L$6:$U$138,9,FALSE))</f>
        <v/>
      </c>
      <c r="C556" s="85"/>
      <c r="D556" s="80" t="str">
        <f t="shared" si="162"/>
        <v/>
      </c>
      <c r="E556" s="85"/>
      <c r="F556" s="80" t="str">
        <f t="shared" si="159"/>
        <v/>
      </c>
      <c r="G556" s="118"/>
      <c r="H556" s="80" t="str">
        <f t="shared" si="160"/>
        <v/>
      </c>
      <c r="I556" s="80" t="str">
        <f t="shared" si="161"/>
        <v/>
      </c>
      <c r="J556" s="117"/>
      <c r="K556" s="117"/>
      <c r="L556" s="117"/>
      <c r="M556" s="84"/>
      <c r="O556" s="75" t="str">
        <f t="shared" si="163"/>
        <v/>
      </c>
      <c r="P556" s="75" t="str">
        <f t="shared" si="164"/>
        <v/>
      </c>
      <c r="Q556" s="75" t="str">
        <f t="shared" si="165"/>
        <v/>
      </c>
      <c r="R556" s="75" t="str">
        <f t="shared" si="166"/>
        <v/>
      </c>
    </row>
    <row r="557" spans="1:18">
      <c r="A557" s="79" t="str">
        <f>IF(C557="","",VLOOKUP('OPĆI DIO'!$C$3,'OPĆI DIO'!$L$6:$U$138,10,FALSE))</f>
        <v/>
      </c>
      <c r="B557" s="79" t="str">
        <f>IF(C557="","",VLOOKUP('OPĆI DIO'!$C$3,'OPĆI DIO'!$L$6:$U$138,9,FALSE))</f>
        <v/>
      </c>
      <c r="C557" s="85"/>
      <c r="D557" s="80" t="str">
        <f t="shared" si="162"/>
        <v/>
      </c>
      <c r="E557" s="85"/>
      <c r="F557" s="80" t="str">
        <f t="shared" si="159"/>
        <v/>
      </c>
      <c r="G557" s="118"/>
      <c r="H557" s="80" t="str">
        <f t="shared" si="160"/>
        <v/>
      </c>
      <c r="I557" s="80" t="str">
        <f t="shared" si="161"/>
        <v/>
      </c>
      <c r="J557" s="117"/>
      <c r="K557" s="117"/>
      <c r="L557" s="117"/>
      <c r="M557" s="84"/>
      <c r="O557" s="75" t="str">
        <f t="shared" si="163"/>
        <v/>
      </c>
      <c r="P557" s="75" t="str">
        <f t="shared" si="164"/>
        <v/>
      </c>
      <c r="Q557" s="75" t="str">
        <f t="shared" si="165"/>
        <v/>
      </c>
      <c r="R557" s="75" t="str">
        <f t="shared" si="166"/>
        <v/>
      </c>
    </row>
    <row r="558" spans="1:18">
      <c r="A558" s="79" t="str">
        <f>IF(C558="","",VLOOKUP('OPĆI DIO'!$C$3,'OPĆI DIO'!$L$6:$U$138,10,FALSE))</f>
        <v/>
      </c>
      <c r="B558" s="79" t="str">
        <f>IF(C558="","",VLOOKUP('OPĆI DIO'!$C$3,'OPĆI DIO'!$L$6:$U$138,9,FALSE))</f>
        <v/>
      </c>
      <c r="C558" s="85"/>
      <c r="D558" s="80" t="str">
        <f t="shared" si="162"/>
        <v/>
      </c>
      <c r="E558" s="85"/>
      <c r="F558" s="80" t="str">
        <f t="shared" si="159"/>
        <v/>
      </c>
      <c r="G558" s="118"/>
      <c r="H558" s="80" t="str">
        <f t="shared" si="160"/>
        <v/>
      </c>
      <c r="I558" s="80" t="str">
        <f t="shared" si="161"/>
        <v/>
      </c>
      <c r="J558" s="117"/>
      <c r="K558" s="117"/>
      <c r="L558" s="117"/>
      <c r="M558" s="84"/>
      <c r="O558" s="75" t="str">
        <f t="shared" si="163"/>
        <v/>
      </c>
      <c r="P558" s="75" t="str">
        <f t="shared" si="164"/>
        <v/>
      </c>
      <c r="Q558" s="75" t="str">
        <f t="shared" si="165"/>
        <v/>
      </c>
      <c r="R558" s="75" t="str">
        <f t="shared" si="166"/>
        <v/>
      </c>
    </row>
    <row r="559" spans="1:18">
      <c r="A559" s="79" t="str">
        <f>IF(C559="","",VLOOKUP('OPĆI DIO'!$C$3,'OPĆI DIO'!$L$6:$U$138,10,FALSE))</f>
        <v/>
      </c>
      <c r="B559" s="79" t="str">
        <f>IF(C559="","",VLOOKUP('OPĆI DIO'!$C$3,'OPĆI DIO'!$L$6:$U$138,9,FALSE))</f>
        <v/>
      </c>
      <c r="C559" s="85"/>
      <c r="D559" s="80" t="str">
        <f t="shared" si="162"/>
        <v/>
      </c>
      <c r="E559" s="85"/>
      <c r="F559" s="80" t="str">
        <f t="shared" si="159"/>
        <v/>
      </c>
      <c r="G559" s="118"/>
      <c r="H559" s="80" t="str">
        <f t="shared" si="160"/>
        <v/>
      </c>
      <c r="I559" s="80" t="str">
        <f t="shared" si="161"/>
        <v/>
      </c>
      <c r="J559" s="117"/>
      <c r="K559" s="117"/>
      <c r="L559" s="117"/>
      <c r="M559" s="84"/>
      <c r="O559" s="75" t="str">
        <f t="shared" si="163"/>
        <v/>
      </c>
      <c r="P559" s="75" t="str">
        <f t="shared" si="164"/>
        <v/>
      </c>
      <c r="Q559" s="75" t="str">
        <f t="shared" si="165"/>
        <v/>
      </c>
      <c r="R559" s="75" t="str">
        <f t="shared" si="166"/>
        <v/>
      </c>
    </row>
    <row r="560" spans="1:18">
      <c r="A560" s="79" t="str">
        <f>IF(C560="","",VLOOKUP('OPĆI DIO'!$C$3,'OPĆI DIO'!$L$6:$U$138,10,FALSE))</f>
        <v/>
      </c>
      <c r="B560" s="79" t="str">
        <f>IF(C560="","",VLOOKUP('OPĆI DIO'!$C$3,'OPĆI DIO'!$L$6:$U$138,9,FALSE))</f>
        <v/>
      </c>
      <c r="C560" s="85"/>
      <c r="D560" s="80" t="str">
        <f t="shared" si="162"/>
        <v/>
      </c>
      <c r="E560" s="85"/>
      <c r="F560" s="80" t="str">
        <f t="shared" si="159"/>
        <v/>
      </c>
      <c r="G560" s="118"/>
      <c r="H560" s="80" t="str">
        <f t="shared" si="160"/>
        <v/>
      </c>
      <c r="I560" s="80" t="str">
        <f t="shared" si="161"/>
        <v/>
      </c>
      <c r="J560" s="117"/>
      <c r="K560" s="117"/>
      <c r="L560" s="117"/>
      <c r="M560" s="84"/>
      <c r="O560" s="75" t="str">
        <f t="shared" si="163"/>
        <v/>
      </c>
      <c r="P560" s="75" t="str">
        <f t="shared" si="164"/>
        <v/>
      </c>
      <c r="Q560" s="75" t="str">
        <f t="shared" si="165"/>
        <v/>
      </c>
      <c r="R560" s="75" t="str">
        <f t="shared" si="166"/>
        <v/>
      </c>
    </row>
    <row r="561" spans="1:18">
      <c r="A561" s="79" t="str">
        <f>IF(C561="","",VLOOKUP('OPĆI DIO'!$C$3,'OPĆI DIO'!$L$6:$U$138,10,FALSE))</f>
        <v/>
      </c>
      <c r="B561" s="79" t="str">
        <f>IF(C561="","",VLOOKUP('OPĆI DIO'!$C$3,'OPĆI DIO'!$L$6:$U$138,9,FALSE))</f>
        <v/>
      </c>
      <c r="C561" s="85"/>
      <c r="D561" s="80" t="str">
        <f t="shared" si="162"/>
        <v/>
      </c>
      <c r="E561" s="85"/>
      <c r="F561" s="80" t="str">
        <f t="shared" si="159"/>
        <v/>
      </c>
      <c r="G561" s="118"/>
      <c r="H561" s="80" t="str">
        <f t="shared" si="160"/>
        <v/>
      </c>
      <c r="I561" s="80" t="str">
        <f t="shared" si="161"/>
        <v/>
      </c>
      <c r="J561" s="117"/>
      <c r="K561" s="117"/>
      <c r="L561" s="117"/>
      <c r="M561" s="84"/>
      <c r="O561" s="75" t="str">
        <f t="shared" si="163"/>
        <v/>
      </c>
      <c r="P561" s="75" t="str">
        <f t="shared" si="164"/>
        <v/>
      </c>
      <c r="Q561" s="75" t="str">
        <f t="shared" si="165"/>
        <v/>
      </c>
      <c r="R561" s="75" t="str">
        <f t="shared" si="166"/>
        <v/>
      </c>
    </row>
    <row r="562" spans="1:18">
      <c r="A562" s="79" t="str">
        <f>IF(C562="","",VLOOKUP('OPĆI DIO'!$C$3,'OPĆI DIO'!$L$6:$U$138,10,FALSE))</f>
        <v/>
      </c>
      <c r="B562" s="79" t="str">
        <f>IF(C562="","",VLOOKUP('OPĆI DIO'!$C$3,'OPĆI DIO'!$L$6:$U$138,9,FALSE))</f>
        <v/>
      </c>
      <c r="C562" s="85"/>
      <c r="D562" s="80" t="str">
        <f t="shared" si="162"/>
        <v/>
      </c>
      <c r="E562" s="85"/>
      <c r="F562" s="80" t="str">
        <f t="shared" si="159"/>
        <v/>
      </c>
      <c r="G562" s="118"/>
      <c r="H562" s="80" t="str">
        <f t="shared" si="160"/>
        <v/>
      </c>
      <c r="I562" s="80" t="str">
        <f t="shared" si="161"/>
        <v/>
      </c>
      <c r="J562" s="117"/>
      <c r="K562" s="117"/>
      <c r="L562" s="117"/>
      <c r="M562" s="84"/>
      <c r="O562" s="75" t="str">
        <f t="shared" si="163"/>
        <v/>
      </c>
      <c r="P562" s="75" t="str">
        <f t="shared" si="164"/>
        <v/>
      </c>
      <c r="Q562" s="75" t="str">
        <f t="shared" si="165"/>
        <v/>
      </c>
      <c r="R562" s="75" t="str">
        <f t="shared" si="166"/>
        <v/>
      </c>
    </row>
    <row r="563" spans="1:18">
      <c r="A563" s="79" t="str">
        <f>IF(C563="","",VLOOKUP('OPĆI DIO'!$C$3,'OPĆI DIO'!$L$6:$U$138,10,FALSE))</f>
        <v/>
      </c>
      <c r="B563" s="79" t="str">
        <f>IF(C563="","",VLOOKUP('OPĆI DIO'!$C$3,'OPĆI DIO'!$L$6:$U$138,9,FALSE))</f>
        <v/>
      </c>
      <c r="C563" s="85"/>
      <c r="D563" s="80" t="str">
        <f t="shared" si="162"/>
        <v/>
      </c>
      <c r="E563" s="85"/>
      <c r="F563" s="80" t="str">
        <f t="shared" si="159"/>
        <v/>
      </c>
      <c r="G563" s="118"/>
      <c r="H563" s="80" t="str">
        <f t="shared" si="160"/>
        <v/>
      </c>
      <c r="I563" s="80" t="str">
        <f t="shared" si="161"/>
        <v/>
      </c>
      <c r="J563" s="117"/>
      <c r="K563" s="117"/>
      <c r="L563" s="117"/>
      <c r="M563" s="84"/>
      <c r="O563" s="75" t="str">
        <f t="shared" si="163"/>
        <v/>
      </c>
      <c r="P563" s="75" t="str">
        <f t="shared" si="164"/>
        <v/>
      </c>
      <c r="Q563" s="75" t="str">
        <f t="shared" si="165"/>
        <v/>
      </c>
      <c r="R563" s="75" t="str">
        <f t="shared" si="166"/>
        <v/>
      </c>
    </row>
    <row r="564" spans="1:18">
      <c r="A564" s="79" t="str">
        <f>IF(C564="","",VLOOKUP('OPĆI DIO'!$C$3,'OPĆI DIO'!$L$6:$U$138,10,FALSE))</f>
        <v/>
      </c>
      <c r="B564" s="79" t="str">
        <f>IF(C564="","",VLOOKUP('OPĆI DIO'!$C$3,'OPĆI DIO'!$L$6:$U$138,9,FALSE))</f>
        <v/>
      </c>
      <c r="C564" s="85"/>
      <c r="D564" s="80" t="str">
        <f t="shared" si="162"/>
        <v/>
      </c>
      <c r="E564" s="85"/>
      <c r="F564" s="80" t="str">
        <f t="shared" si="159"/>
        <v/>
      </c>
      <c r="G564" s="118"/>
      <c r="H564" s="80" t="str">
        <f t="shared" si="160"/>
        <v/>
      </c>
      <c r="I564" s="80" t="str">
        <f t="shared" si="161"/>
        <v/>
      </c>
      <c r="J564" s="117"/>
      <c r="K564" s="117"/>
      <c r="L564" s="117"/>
      <c r="M564" s="84"/>
      <c r="O564" s="75" t="str">
        <f t="shared" si="163"/>
        <v/>
      </c>
      <c r="P564" s="75" t="str">
        <f t="shared" si="164"/>
        <v/>
      </c>
      <c r="Q564" s="75" t="str">
        <f t="shared" si="165"/>
        <v/>
      </c>
      <c r="R564" s="75" t="str">
        <f t="shared" si="166"/>
        <v/>
      </c>
    </row>
    <row r="565" spans="1:18">
      <c r="A565" s="79" t="str">
        <f>IF(C565="","",VLOOKUP('OPĆI DIO'!$C$3,'OPĆI DIO'!$L$6:$U$138,10,FALSE))</f>
        <v/>
      </c>
      <c r="B565" s="79" t="str">
        <f>IF(C565="","",VLOOKUP('OPĆI DIO'!$C$3,'OPĆI DIO'!$L$6:$U$138,9,FALSE))</f>
        <v/>
      </c>
      <c r="C565" s="85"/>
      <c r="D565" s="80" t="str">
        <f t="shared" si="162"/>
        <v/>
      </c>
      <c r="E565" s="85"/>
      <c r="F565" s="80" t="str">
        <f t="shared" si="159"/>
        <v/>
      </c>
      <c r="G565" s="118"/>
      <c r="H565" s="80" t="str">
        <f t="shared" si="160"/>
        <v/>
      </c>
      <c r="I565" s="80" t="str">
        <f t="shared" si="161"/>
        <v/>
      </c>
      <c r="J565" s="117"/>
      <c r="K565" s="117"/>
      <c r="L565" s="117"/>
      <c r="M565" s="84"/>
      <c r="O565" s="75" t="str">
        <f t="shared" si="163"/>
        <v/>
      </c>
      <c r="P565" s="75" t="str">
        <f t="shared" si="164"/>
        <v/>
      </c>
      <c r="Q565" s="75" t="str">
        <f t="shared" si="165"/>
        <v/>
      </c>
      <c r="R565" s="75" t="str">
        <f t="shared" si="166"/>
        <v/>
      </c>
    </row>
    <row r="566" spans="1:18">
      <c r="A566" s="79" t="str">
        <f>IF(C566="","",VLOOKUP('OPĆI DIO'!$C$3,'OPĆI DIO'!$L$6:$U$138,10,FALSE))</f>
        <v/>
      </c>
      <c r="B566" s="79" t="str">
        <f>IF(C566="","",VLOOKUP('OPĆI DIO'!$C$3,'OPĆI DIO'!$L$6:$U$138,9,FALSE))</f>
        <v/>
      </c>
      <c r="C566" s="85"/>
      <c r="D566" s="80" t="str">
        <f t="shared" si="162"/>
        <v/>
      </c>
      <c r="E566" s="85"/>
      <c r="F566" s="80" t="str">
        <f t="shared" si="159"/>
        <v/>
      </c>
      <c r="G566" s="118"/>
      <c r="H566" s="80" t="str">
        <f t="shared" si="160"/>
        <v/>
      </c>
      <c r="I566" s="80" t="str">
        <f t="shared" si="161"/>
        <v/>
      </c>
      <c r="J566" s="117"/>
      <c r="K566" s="117"/>
      <c r="L566" s="117"/>
      <c r="M566" s="84"/>
      <c r="O566" s="75" t="str">
        <f t="shared" si="163"/>
        <v/>
      </c>
      <c r="P566" s="75" t="str">
        <f t="shared" si="164"/>
        <v/>
      </c>
      <c r="Q566" s="75" t="str">
        <f t="shared" si="165"/>
        <v/>
      </c>
      <c r="R566" s="75" t="str">
        <f t="shared" si="166"/>
        <v/>
      </c>
    </row>
    <row r="567" spans="1:18">
      <c r="A567" s="79" t="str">
        <f>IF(C567="","",VLOOKUP('OPĆI DIO'!$C$3,'OPĆI DIO'!$L$6:$U$138,10,FALSE))</f>
        <v/>
      </c>
      <c r="B567" s="79" t="str">
        <f>IF(C567="","",VLOOKUP('OPĆI DIO'!$C$3,'OPĆI DIO'!$L$6:$U$138,9,FALSE))</f>
        <v/>
      </c>
      <c r="C567" s="85"/>
      <c r="D567" s="80" t="str">
        <f t="shared" si="162"/>
        <v/>
      </c>
      <c r="E567" s="85"/>
      <c r="F567" s="80" t="str">
        <f t="shared" si="159"/>
        <v/>
      </c>
      <c r="G567" s="118"/>
      <c r="H567" s="80" t="str">
        <f t="shared" si="160"/>
        <v/>
      </c>
      <c r="I567" s="80" t="str">
        <f t="shared" si="161"/>
        <v/>
      </c>
      <c r="J567" s="117"/>
      <c r="K567" s="117"/>
      <c r="L567" s="117"/>
      <c r="M567" s="84"/>
      <c r="O567" s="75" t="str">
        <f t="shared" si="163"/>
        <v/>
      </c>
      <c r="P567" s="75" t="str">
        <f t="shared" si="164"/>
        <v/>
      </c>
      <c r="Q567" s="75" t="str">
        <f t="shared" si="165"/>
        <v/>
      </c>
      <c r="R567" s="75" t="str">
        <f t="shared" si="166"/>
        <v/>
      </c>
    </row>
    <row r="568" spans="1:18">
      <c r="A568" s="79" t="str">
        <f>IF(C568="","",VLOOKUP('OPĆI DIO'!$C$3,'OPĆI DIO'!$L$6:$U$138,10,FALSE))</f>
        <v/>
      </c>
      <c r="B568" s="79" t="str">
        <f>IF(C568="","",VLOOKUP('OPĆI DIO'!$C$3,'OPĆI DIO'!$L$6:$U$138,9,FALSE))</f>
        <v/>
      </c>
      <c r="C568" s="85"/>
      <c r="D568" s="80" t="str">
        <f t="shared" si="162"/>
        <v/>
      </c>
      <c r="E568" s="85"/>
      <c r="F568" s="80" t="str">
        <f t="shared" si="159"/>
        <v/>
      </c>
      <c r="G568" s="118"/>
      <c r="H568" s="80" t="str">
        <f t="shared" si="160"/>
        <v/>
      </c>
      <c r="I568" s="80" t="str">
        <f t="shared" si="161"/>
        <v/>
      </c>
      <c r="J568" s="117"/>
      <c r="K568" s="117"/>
      <c r="L568" s="117"/>
      <c r="M568" s="84"/>
      <c r="O568" s="75" t="str">
        <f t="shared" si="163"/>
        <v/>
      </c>
      <c r="P568" s="75" t="str">
        <f t="shared" si="164"/>
        <v/>
      </c>
      <c r="Q568" s="75" t="str">
        <f t="shared" si="165"/>
        <v/>
      </c>
      <c r="R568" s="75" t="str">
        <f t="shared" si="166"/>
        <v/>
      </c>
    </row>
    <row r="569" spans="1:18">
      <c r="A569" s="79" t="str">
        <f>IF(C569="","",VLOOKUP('OPĆI DIO'!$C$3,'OPĆI DIO'!$L$6:$U$138,10,FALSE))</f>
        <v/>
      </c>
      <c r="B569" s="79" t="str">
        <f>IF(C569="","",VLOOKUP('OPĆI DIO'!$C$3,'OPĆI DIO'!$L$6:$U$138,9,FALSE))</f>
        <v/>
      </c>
      <c r="C569" s="85"/>
      <c r="D569" s="80" t="str">
        <f t="shared" si="162"/>
        <v/>
      </c>
      <c r="E569" s="85"/>
      <c r="F569" s="80" t="str">
        <f t="shared" si="159"/>
        <v/>
      </c>
      <c r="G569" s="118"/>
      <c r="H569" s="80" t="str">
        <f t="shared" si="160"/>
        <v/>
      </c>
      <c r="I569" s="80" t="str">
        <f t="shared" si="161"/>
        <v/>
      </c>
      <c r="J569" s="117"/>
      <c r="K569" s="117"/>
      <c r="L569" s="117"/>
      <c r="M569" s="84"/>
      <c r="O569" s="75" t="str">
        <f t="shared" si="163"/>
        <v/>
      </c>
      <c r="P569" s="75" t="str">
        <f t="shared" si="164"/>
        <v/>
      </c>
      <c r="Q569" s="75" t="str">
        <f t="shared" si="165"/>
        <v/>
      </c>
      <c r="R569" s="75" t="str">
        <f t="shared" si="166"/>
        <v/>
      </c>
    </row>
    <row r="570" spans="1:18">
      <c r="A570" s="79" t="str">
        <f>IF(C570="","",VLOOKUP('OPĆI DIO'!$C$3,'OPĆI DIO'!$L$6:$U$138,10,FALSE))</f>
        <v/>
      </c>
      <c r="B570" s="79" t="str">
        <f>IF(C570="","",VLOOKUP('OPĆI DIO'!$C$3,'OPĆI DIO'!$L$6:$U$138,9,FALSE))</f>
        <v/>
      </c>
      <c r="C570" s="85"/>
      <c r="D570" s="80" t="str">
        <f t="shared" si="162"/>
        <v/>
      </c>
      <c r="E570" s="85"/>
      <c r="F570" s="80" t="str">
        <f t="shared" si="159"/>
        <v/>
      </c>
      <c r="G570" s="118"/>
      <c r="H570" s="80" t="str">
        <f t="shared" si="160"/>
        <v/>
      </c>
      <c r="I570" s="80" t="str">
        <f t="shared" si="161"/>
        <v/>
      </c>
      <c r="J570" s="117"/>
      <c r="K570" s="117"/>
      <c r="L570" s="117"/>
      <c r="M570" s="84"/>
      <c r="O570" s="75" t="str">
        <f t="shared" si="163"/>
        <v/>
      </c>
      <c r="P570" s="75" t="str">
        <f t="shared" si="164"/>
        <v/>
      </c>
      <c r="Q570" s="75" t="str">
        <f t="shared" si="165"/>
        <v/>
      </c>
      <c r="R570" s="75" t="str">
        <f t="shared" si="166"/>
        <v/>
      </c>
    </row>
    <row r="571" spans="1:18">
      <c r="A571" s="79" t="str">
        <f>IF(C571="","",VLOOKUP('OPĆI DIO'!$C$3,'OPĆI DIO'!$L$6:$U$138,10,FALSE))</f>
        <v/>
      </c>
      <c r="B571" s="79" t="str">
        <f>IF(C571="","",VLOOKUP('OPĆI DIO'!$C$3,'OPĆI DIO'!$L$6:$U$138,9,FALSE))</f>
        <v/>
      </c>
      <c r="C571" s="85"/>
      <c r="D571" s="80" t="str">
        <f t="shared" si="162"/>
        <v/>
      </c>
      <c r="E571" s="85"/>
      <c r="F571" s="80" t="str">
        <f t="shared" si="159"/>
        <v/>
      </c>
      <c r="G571" s="118"/>
      <c r="H571" s="80" t="str">
        <f t="shared" si="160"/>
        <v/>
      </c>
      <c r="I571" s="80" t="str">
        <f t="shared" si="161"/>
        <v/>
      </c>
      <c r="J571" s="117"/>
      <c r="K571" s="117"/>
      <c r="L571" s="117"/>
      <c r="M571" s="84"/>
      <c r="O571" s="75" t="str">
        <f t="shared" si="163"/>
        <v/>
      </c>
      <c r="P571" s="75" t="str">
        <f t="shared" si="164"/>
        <v/>
      </c>
      <c r="Q571" s="75" t="str">
        <f t="shared" si="165"/>
        <v/>
      </c>
      <c r="R571" s="75" t="str">
        <f t="shared" si="166"/>
        <v/>
      </c>
    </row>
    <row r="572" spans="1:18">
      <c r="A572" s="79" t="str">
        <f>IF(C572="","",VLOOKUP('OPĆI DIO'!$C$3,'OPĆI DIO'!$L$6:$U$138,10,FALSE))</f>
        <v/>
      </c>
      <c r="B572" s="79" t="str">
        <f>IF(C572="","",VLOOKUP('OPĆI DIO'!$C$3,'OPĆI DIO'!$L$6:$U$138,9,FALSE))</f>
        <v/>
      </c>
      <c r="C572" s="85"/>
      <c r="D572" s="80" t="str">
        <f t="shared" si="162"/>
        <v/>
      </c>
      <c r="E572" s="85"/>
      <c r="F572" s="80" t="str">
        <f t="shared" si="159"/>
        <v/>
      </c>
      <c r="G572" s="118"/>
      <c r="H572" s="80" t="str">
        <f t="shared" si="160"/>
        <v/>
      </c>
      <c r="I572" s="80" t="str">
        <f t="shared" si="161"/>
        <v/>
      </c>
      <c r="J572" s="117"/>
      <c r="K572" s="117"/>
      <c r="L572" s="117"/>
      <c r="M572" s="84"/>
      <c r="O572" s="75" t="str">
        <f t="shared" si="163"/>
        <v/>
      </c>
      <c r="P572" s="75" t="str">
        <f t="shared" si="164"/>
        <v/>
      </c>
      <c r="Q572" s="75" t="str">
        <f t="shared" si="165"/>
        <v/>
      </c>
      <c r="R572" s="75" t="str">
        <f t="shared" si="166"/>
        <v/>
      </c>
    </row>
    <row r="573" spans="1:18">
      <c r="A573" s="79" t="str">
        <f>IF(C573="","",VLOOKUP('OPĆI DIO'!$C$3,'OPĆI DIO'!$L$6:$U$138,10,FALSE))</f>
        <v/>
      </c>
      <c r="B573" s="79" t="str">
        <f>IF(C573="","",VLOOKUP('OPĆI DIO'!$C$3,'OPĆI DIO'!$L$6:$U$138,9,FALSE))</f>
        <v/>
      </c>
      <c r="C573" s="85"/>
      <c r="D573" s="80" t="str">
        <f t="shared" si="162"/>
        <v/>
      </c>
      <c r="E573" s="85"/>
      <c r="F573" s="80" t="str">
        <f t="shared" si="159"/>
        <v/>
      </c>
      <c r="G573" s="118"/>
      <c r="H573" s="80" t="str">
        <f t="shared" si="160"/>
        <v/>
      </c>
      <c r="I573" s="80" t="str">
        <f t="shared" si="161"/>
        <v/>
      </c>
      <c r="J573" s="117"/>
      <c r="K573" s="117"/>
      <c r="L573" s="117"/>
      <c r="M573" s="84"/>
      <c r="O573" s="75" t="str">
        <f t="shared" si="163"/>
        <v/>
      </c>
      <c r="P573" s="75" t="str">
        <f t="shared" si="164"/>
        <v/>
      </c>
      <c r="Q573" s="75" t="str">
        <f t="shared" si="165"/>
        <v/>
      </c>
      <c r="R573" s="75" t="str">
        <f t="shared" si="166"/>
        <v/>
      </c>
    </row>
    <row r="574" spans="1:18">
      <c r="A574" s="79" t="str">
        <f>IF(C574="","",VLOOKUP('OPĆI DIO'!$C$3,'OPĆI DIO'!$L$6:$U$138,10,FALSE))</f>
        <v/>
      </c>
      <c r="B574" s="79" t="str">
        <f>IF(C574="","",VLOOKUP('OPĆI DIO'!$C$3,'OPĆI DIO'!$L$6:$U$138,9,FALSE))</f>
        <v/>
      </c>
      <c r="C574" s="85"/>
      <c r="D574" s="80" t="str">
        <f t="shared" si="162"/>
        <v/>
      </c>
      <c r="E574" s="85"/>
      <c r="F574" s="80" t="str">
        <f t="shared" si="159"/>
        <v/>
      </c>
      <c r="G574" s="118"/>
      <c r="H574" s="80" t="str">
        <f t="shared" si="160"/>
        <v/>
      </c>
      <c r="I574" s="80" t="str">
        <f t="shared" si="161"/>
        <v/>
      </c>
      <c r="J574" s="117"/>
      <c r="K574" s="117"/>
      <c r="L574" s="117"/>
      <c r="M574" s="84"/>
      <c r="O574" s="75" t="str">
        <f t="shared" si="163"/>
        <v/>
      </c>
      <c r="P574" s="75" t="str">
        <f t="shared" si="164"/>
        <v/>
      </c>
      <c r="Q574" s="75" t="str">
        <f t="shared" si="165"/>
        <v/>
      </c>
      <c r="R574" s="75" t="str">
        <f t="shared" si="166"/>
        <v/>
      </c>
    </row>
    <row r="575" spans="1:18">
      <c r="A575" s="79" t="str">
        <f>IF(C575="","",VLOOKUP('OPĆI DIO'!$C$3,'OPĆI DIO'!$L$6:$U$138,10,FALSE))</f>
        <v/>
      </c>
      <c r="B575" s="79" t="str">
        <f>IF(C575="","",VLOOKUP('OPĆI DIO'!$C$3,'OPĆI DIO'!$L$6:$U$138,9,FALSE))</f>
        <v/>
      </c>
      <c r="C575" s="85"/>
      <c r="D575" s="80" t="str">
        <f t="shared" si="162"/>
        <v/>
      </c>
      <c r="E575" s="85"/>
      <c r="F575" s="80" t="str">
        <f t="shared" si="159"/>
        <v/>
      </c>
      <c r="G575" s="118"/>
      <c r="H575" s="80" t="str">
        <f t="shared" si="160"/>
        <v/>
      </c>
      <c r="I575" s="80" t="str">
        <f t="shared" si="161"/>
        <v/>
      </c>
      <c r="J575" s="117"/>
      <c r="K575" s="117"/>
      <c r="L575" s="117"/>
      <c r="M575" s="84"/>
      <c r="O575" s="75" t="str">
        <f t="shared" si="163"/>
        <v/>
      </c>
      <c r="P575" s="75" t="str">
        <f t="shared" si="164"/>
        <v/>
      </c>
      <c r="Q575" s="75" t="str">
        <f t="shared" si="165"/>
        <v/>
      </c>
      <c r="R575" s="75" t="str">
        <f t="shared" si="166"/>
        <v/>
      </c>
    </row>
    <row r="576" spans="1:18"/>
    <row r="577" hidden="1"/>
    <row r="578" hidden="1"/>
    <row r="579" hidden="1"/>
    <row r="580" hidden="1"/>
    <row r="581" hidden="1"/>
    <row r="582"/>
    <row r="583"/>
    <row r="584"/>
    <row r="585"/>
    <row r="586"/>
    <row r="587"/>
    <row r="588"/>
    <row r="589"/>
    <row r="590"/>
    <row r="591"/>
  </sheetData>
  <sheetProtection selectLockedCells="1"/>
  <sortState ref="AB9:AC71">
    <sortCondition ref="AB6"/>
  </sortState>
  <mergeCells count="1">
    <mergeCell ref="A1:D1"/>
  </mergeCells>
  <conditionalFormatting sqref="M3:M575">
    <cfRule type="expression" dxfId="0" priority="1">
      <formula>IF(OR(E3=3691,E3=3692,E3=3693,E3=3694),1,0)</formula>
    </cfRule>
  </conditionalFormatting>
  <dataValidations xWindow="667" yWindow="819" count="5">
    <dataValidation type="whole" allowBlank="1" showInputMessage="1" showErrorMessage="1" errorTitle="GREŠKA" error="U ovo polje je dozvoljen unos samo brojčanih vrijednosti (bez decimala!)" sqref="J3:L57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7 E9:E575">
      <formula1>$V$5:$V$203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75">
      <formula1>$S$7:$S$48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75">
      <formula1>$AB$7:$AB$401</formula1>
    </dataValidation>
    <dataValidation type="list" allowBlank="1" showInputMessage="1" showErrorMessage="1" errorTitle="GREŠKA" error="Za unos odaberite vrijednost iz padajućeg izbornika!" prompt="Molimo odaberite vrijednost iz padajućeg izbornika!" sqref="E8">
      <formula1>$X$5:$X$130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67" yWindow="819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M3:M575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130" zoomScaleNormal="130" workbookViewId="0">
      <pane ySplit="2" topLeftCell="A3" activePane="bottomLeft" state="frozen"/>
      <selection pane="bottomLeft" activeCell="D12" sqref="D12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54" t="s">
        <v>663</v>
      </c>
      <c r="B1" s="354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>
        <v>563</v>
      </c>
      <c r="B3" s="80" t="str">
        <f t="shared" ref="B3" si="0">IFERROR(VLOOKUP(A3,$U$6:$V$23,2,FALSE),"")</f>
        <v>Europski fond za regionalni razvoj (ERDF)</v>
      </c>
      <c r="C3" s="85">
        <v>4227</v>
      </c>
      <c r="D3" s="80" t="str">
        <f>IFERROR(VLOOKUP(C3,$X$5:$Z$129,2,FALSE),"")</f>
        <v>Uređaji, strojevi i oprema za ostale namjene</v>
      </c>
      <c r="E3" s="118" t="s">
        <v>869</v>
      </c>
      <c r="F3" s="80" t="str">
        <f>IFERROR(VLOOKUP(E3,$AD$6:$AE$1090,2,FALSE),"")</f>
        <v>Poziv Modernizacija, unaprjeđenje i proširenje infrastrukture studentskog smještaja za studente u nepovoljnom položaju</v>
      </c>
      <c r="G3" s="80" t="str">
        <f>IFERROR(VLOOKUP(E3,$AD$6:$AG$1090,4,FALSE),"")</f>
        <v>0942</v>
      </c>
      <c r="H3" s="117">
        <v>0</v>
      </c>
      <c r="I3" s="117">
        <v>1600000</v>
      </c>
      <c r="J3" s="117">
        <v>1783394.86</v>
      </c>
      <c r="K3" s="130"/>
      <c r="L3" s="129"/>
      <c r="M3" s="129"/>
      <c r="N3" s="130"/>
      <c r="O3" s="307"/>
      <c r="P3" s="84"/>
      <c r="R3" s="75" t="str">
        <f>LEFT(C3,3)</f>
        <v>422</v>
      </c>
      <c r="S3" s="75" t="str">
        <f>LEFT(C3,2)</f>
        <v>42</v>
      </c>
      <c r="T3" s="75" t="str">
        <f>MID(G3,2,2)</f>
        <v>94</v>
      </c>
    </row>
    <row r="4" spans="1:33">
      <c r="A4" s="85">
        <v>563</v>
      </c>
      <c r="B4" s="80" t="str">
        <f t="shared" ref="B4:B67" si="1">IFERROR(VLOOKUP(A4,$U$6:$V$23,2,FALSE),"")</f>
        <v>Europski fond za regionalni razvoj (ERDF)</v>
      </c>
      <c r="C4" s="85">
        <v>4212</v>
      </c>
      <c r="D4" s="80" t="str">
        <f t="shared" ref="D4:D67" si="2">IFERROR(VLOOKUP(C4,$X$5:$Z$129,2,FALSE),"")</f>
        <v>Poslovni objekti</v>
      </c>
      <c r="E4" s="118" t="s">
        <v>869</v>
      </c>
      <c r="F4" s="80" t="str">
        <f>IFERROR(VLOOKUP(E4,$AD$6:$AE$1090,2,FALSE),"")</f>
        <v>Poziv Modernizacija, unaprjeđenje i proširenje infrastrukture studentskog smještaja za studente u nepovoljnom položaju</v>
      </c>
      <c r="G4" s="80" t="str">
        <f>IFERROR(VLOOKUP(E4,$AD$6:$AG$1090,4,FALSE),"")</f>
        <v>0942</v>
      </c>
      <c r="H4" s="117">
        <v>1264630</v>
      </c>
      <c r="I4" s="117">
        <v>0</v>
      </c>
      <c r="J4" s="117">
        <v>337492.74</v>
      </c>
      <c r="K4" s="130"/>
      <c r="L4" s="129"/>
      <c r="M4" s="129"/>
      <c r="N4" s="130"/>
      <c r="O4" s="307"/>
      <c r="P4" s="84"/>
      <c r="R4" s="75" t="str">
        <f t="shared" ref="R4:R67" si="3">LEFT(C4,3)</f>
        <v>421</v>
      </c>
      <c r="S4" s="75" t="str">
        <f t="shared" ref="S4:S67" si="4">LEFT(C4,2)</f>
        <v>42</v>
      </c>
      <c r="T4" s="75" t="str">
        <f t="shared" ref="T4:T67" si="5">MID(G4,2,2)</f>
        <v>94</v>
      </c>
      <c r="X4" s="81"/>
      <c r="Y4" s="81"/>
    </row>
    <row r="5" spans="1:33">
      <c r="A5" s="85"/>
      <c r="B5" s="80"/>
      <c r="C5" s="85"/>
      <c r="D5" s="80"/>
      <c r="E5" s="118"/>
      <c r="F5" s="80"/>
      <c r="G5" s="80"/>
      <c r="H5" s="117"/>
      <c r="I5" s="117"/>
      <c r="J5" s="117"/>
      <c r="K5" s="130"/>
      <c r="L5" s="129"/>
      <c r="M5" s="129"/>
      <c r="N5" s="130"/>
      <c r="O5" s="307"/>
      <c r="P5" s="84"/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ref="F6:F67" si="6">IFERROR(VLOOKUP(E6,$AD$6:$AE$1090,2,FALSE),"")</f>
        <v/>
      </c>
      <c r="G6" s="80" t="str">
        <f t="shared" ref="G6:G67" si="7">IFERROR(VLOOKUP(E6,$AD$6:$AG$1090,4,FALSE),"")</f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3"/>
        <v/>
      </c>
      <c r="S6" s="75" t="str">
        <f t="shared" si="4"/>
        <v/>
      </c>
      <c r="T6" s="75" t="str">
        <f t="shared" si="5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ref="AA6:AA68" si="8">LEFT(X6,2)</f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6"/>
        <v/>
      </c>
      <c r="G7" s="80" t="str">
        <f t="shared" si="7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3"/>
        <v/>
      </c>
      <c r="S7" s="75" t="str">
        <f t="shared" si="4"/>
        <v/>
      </c>
      <c r="T7" s="75" t="str">
        <f t="shared" si="5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6"/>
        <v/>
      </c>
      <c r="G8" s="80" t="str">
        <f t="shared" si="7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3"/>
        <v/>
      </c>
      <c r="S8" s="75" t="str">
        <f t="shared" si="4"/>
        <v/>
      </c>
      <c r="T8" s="75" t="str">
        <f t="shared" si="5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6"/>
        <v/>
      </c>
      <c r="G9" s="80" t="str">
        <f t="shared" si="7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3"/>
        <v/>
      </c>
      <c r="S9" s="75" t="str">
        <f t="shared" si="4"/>
        <v/>
      </c>
      <c r="T9" s="75" t="str">
        <f t="shared" si="5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6"/>
        <v/>
      </c>
      <c r="G10" s="80" t="str">
        <f t="shared" si="7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3"/>
        <v/>
      </c>
      <c r="S10" s="75" t="str">
        <f t="shared" si="4"/>
        <v/>
      </c>
      <c r="T10" s="75" t="str">
        <f t="shared" si="5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6"/>
        <v/>
      </c>
      <c r="G11" s="80" t="str">
        <f t="shared" si="7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3"/>
        <v/>
      </c>
      <c r="S11" s="75" t="str">
        <f t="shared" si="4"/>
        <v/>
      </c>
      <c r="T11" s="75" t="str">
        <f t="shared" si="5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6"/>
        <v/>
      </c>
      <c r="G12" s="80" t="str">
        <f t="shared" si="7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3"/>
        <v/>
      </c>
      <c r="S12" s="75" t="str">
        <f t="shared" si="4"/>
        <v/>
      </c>
      <c r="T12" s="75" t="str">
        <f t="shared" si="5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6"/>
        <v/>
      </c>
      <c r="G13" s="80" t="str">
        <f t="shared" si="7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3"/>
        <v/>
      </c>
      <c r="S13" s="75" t="str">
        <f t="shared" si="4"/>
        <v/>
      </c>
      <c r="T13" s="75" t="str">
        <f t="shared" si="5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6"/>
        <v/>
      </c>
      <c r="G14" s="80" t="str">
        <f t="shared" si="7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3"/>
        <v/>
      </c>
      <c r="S14" s="75" t="str">
        <f t="shared" si="4"/>
        <v/>
      </c>
      <c r="T14" s="75" t="str">
        <f t="shared" si="5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6"/>
        <v/>
      </c>
      <c r="G15" s="80" t="str">
        <f t="shared" si="7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3"/>
        <v/>
      </c>
      <c r="S15" s="75" t="str">
        <f t="shared" si="4"/>
        <v/>
      </c>
      <c r="T15" s="75" t="str">
        <f t="shared" si="5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6"/>
        <v/>
      </c>
      <c r="G16" s="80" t="str">
        <f t="shared" si="7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3"/>
        <v/>
      </c>
      <c r="S16" s="75" t="str">
        <f t="shared" si="4"/>
        <v/>
      </c>
      <c r="T16" s="75" t="str">
        <f t="shared" si="5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6"/>
        <v/>
      </c>
      <c r="G17" s="80" t="str">
        <f t="shared" si="7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3"/>
        <v/>
      </c>
      <c r="S17" s="75" t="str">
        <f t="shared" si="4"/>
        <v/>
      </c>
      <c r="T17" s="75" t="str">
        <f t="shared" si="5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6"/>
        <v/>
      </c>
      <c r="G18" s="80" t="str">
        <f t="shared" si="7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3"/>
        <v/>
      </c>
      <c r="S18" s="75" t="str">
        <f t="shared" si="4"/>
        <v/>
      </c>
      <c r="T18" s="75" t="str">
        <f t="shared" si="5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6"/>
        <v/>
      </c>
      <c r="G19" s="80" t="str">
        <f t="shared" si="7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3"/>
        <v/>
      </c>
      <c r="S19" s="75" t="str">
        <f t="shared" si="4"/>
        <v/>
      </c>
      <c r="T19" s="75" t="str">
        <f t="shared" si="5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6"/>
        <v/>
      </c>
      <c r="G20" s="80" t="str">
        <f t="shared" si="7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3"/>
        <v/>
      </c>
      <c r="S20" s="75" t="str">
        <f t="shared" si="4"/>
        <v/>
      </c>
      <c r="T20" s="75" t="str">
        <f t="shared" si="5"/>
        <v/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6"/>
        <v/>
      </c>
      <c r="G21" s="80" t="str">
        <f t="shared" si="7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3"/>
        <v/>
      </c>
      <c r="S21" s="75" t="str">
        <f t="shared" si="4"/>
        <v/>
      </c>
      <c r="T21" s="75" t="str">
        <f t="shared" si="5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6"/>
        <v/>
      </c>
      <c r="G22" s="80" t="str">
        <f t="shared" si="7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3"/>
        <v/>
      </c>
      <c r="S22" s="75" t="str">
        <f t="shared" si="4"/>
        <v/>
      </c>
      <c r="T22" s="75" t="str">
        <f t="shared" si="5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6"/>
        <v/>
      </c>
      <c r="G23" s="80" t="str">
        <f t="shared" si="7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3"/>
        <v/>
      </c>
      <c r="S23" s="75" t="str">
        <f t="shared" si="4"/>
        <v/>
      </c>
      <c r="T23" s="75" t="str">
        <f t="shared" si="5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6"/>
        <v/>
      </c>
      <c r="G24" s="80" t="str">
        <f t="shared" si="7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3"/>
        <v/>
      </c>
      <c r="S24" s="75" t="str">
        <f t="shared" si="4"/>
        <v/>
      </c>
      <c r="T24" s="75" t="str">
        <f t="shared" si="5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6"/>
        <v/>
      </c>
      <c r="G25" s="80" t="str">
        <f t="shared" si="7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3"/>
        <v/>
      </c>
      <c r="S25" s="75" t="str">
        <f t="shared" si="4"/>
        <v/>
      </c>
      <c r="T25" s="75" t="str">
        <f t="shared" si="5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6"/>
        <v/>
      </c>
      <c r="G26" s="80" t="str">
        <f t="shared" si="7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3"/>
        <v/>
      </c>
      <c r="S26" s="75" t="str">
        <f t="shared" si="4"/>
        <v/>
      </c>
      <c r="T26" s="75" t="str">
        <f t="shared" si="5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6"/>
        <v/>
      </c>
      <c r="G27" s="80" t="str">
        <f t="shared" si="7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3"/>
        <v/>
      </c>
      <c r="S27" s="75" t="str">
        <f t="shared" si="4"/>
        <v/>
      </c>
      <c r="T27" s="75" t="str">
        <f t="shared" si="5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6"/>
        <v/>
      </c>
      <c r="G28" s="80" t="str">
        <f t="shared" si="7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3"/>
        <v/>
      </c>
      <c r="S28" s="75" t="str">
        <f t="shared" si="4"/>
        <v/>
      </c>
      <c r="T28" s="75" t="str">
        <f t="shared" si="5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6"/>
        <v/>
      </c>
      <c r="G29" s="80" t="str">
        <f t="shared" si="7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3"/>
        <v/>
      </c>
      <c r="S29" s="75" t="str">
        <f t="shared" si="4"/>
        <v/>
      </c>
      <c r="T29" s="75" t="str">
        <f t="shared" si="5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6"/>
        <v/>
      </c>
      <c r="G30" s="80" t="str">
        <f t="shared" si="7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3"/>
        <v/>
      </c>
      <c r="S30" s="75" t="str">
        <f t="shared" si="4"/>
        <v/>
      </c>
      <c r="T30" s="75" t="str">
        <f t="shared" si="5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6"/>
        <v/>
      </c>
      <c r="G31" s="80" t="str">
        <f t="shared" si="7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3"/>
        <v/>
      </c>
      <c r="S31" s="75" t="str">
        <f t="shared" si="4"/>
        <v/>
      </c>
      <c r="T31" s="75" t="str">
        <f t="shared" si="5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6"/>
        <v/>
      </c>
      <c r="G32" s="80" t="str">
        <f t="shared" si="7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3"/>
        <v/>
      </c>
      <c r="S32" s="75" t="str">
        <f t="shared" si="4"/>
        <v/>
      </c>
      <c r="T32" s="75" t="str">
        <f t="shared" si="5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6"/>
        <v/>
      </c>
      <c r="G33" s="80" t="str">
        <f t="shared" si="7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3"/>
        <v/>
      </c>
      <c r="S33" s="75" t="str">
        <f t="shared" si="4"/>
        <v/>
      </c>
      <c r="T33" s="75" t="str">
        <f t="shared" si="5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6"/>
        <v/>
      </c>
      <c r="G34" s="80" t="str">
        <f t="shared" si="7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3"/>
        <v/>
      </c>
      <c r="S34" s="75" t="str">
        <f t="shared" si="4"/>
        <v/>
      </c>
      <c r="T34" s="75" t="str">
        <f t="shared" si="5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6"/>
        <v/>
      </c>
      <c r="G35" s="80" t="str">
        <f t="shared" si="7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3"/>
        <v/>
      </c>
      <c r="S35" s="75" t="str">
        <f t="shared" si="4"/>
        <v/>
      </c>
      <c r="T35" s="75" t="str">
        <f t="shared" si="5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6"/>
        <v/>
      </c>
      <c r="G36" s="80" t="str">
        <f t="shared" si="7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3"/>
        <v/>
      </c>
      <c r="S36" s="75" t="str">
        <f t="shared" si="4"/>
        <v/>
      </c>
      <c r="T36" s="75" t="str">
        <f t="shared" si="5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6"/>
        <v/>
      </c>
      <c r="G37" s="80" t="str">
        <f t="shared" si="7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3"/>
        <v/>
      </c>
      <c r="S37" s="75" t="str">
        <f t="shared" si="4"/>
        <v/>
      </c>
      <c r="T37" s="75" t="str">
        <f t="shared" si="5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6"/>
        <v/>
      </c>
      <c r="G38" s="80" t="str">
        <f t="shared" si="7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3"/>
        <v/>
      </c>
      <c r="S38" s="75" t="str">
        <f t="shared" si="4"/>
        <v/>
      </c>
      <c r="T38" s="75" t="str">
        <f t="shared" si="5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6"/>
        <v/>
      </c>
      <c r="G39" s="80" t="str">
        <f t="shared" si="7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3"/>
        <v/>
      </c>
      <c r="S39" s="75" t="str">
        <f t="shared" si="4"/>
        <v/>
      </c>
      <c r="T39" s="75" t="str">
        <f t="shared" si="5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6"/>
        <v/>
      </c>
      <c r="G40" s="80" t="str">
        <f t="shared" si="7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3"/>
        <v/>
      </c>
      <c r="S40" s="75" t="str">
        <f t="shared" si="4"/>
        <v/>
      </c>
      <c r="T40" s="75" t="str">
        <f t="shared" si="5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6"/>
        <v/>
      </c>
      <c r="G41" s="80" t="str">
        <f t="shared" si="7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3"/>
        <v/>
      </c>
      <c r="S41" s="75" t="str">
        <f t="shared" si="4"/>
        <v/>
      </c>
      <c r="T41" s="75" t="str">
        <f t="shared" si="5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6"/>
        <v/>
      </c>
      <c r="G42" s="80" t="str">
        <f t="shared" si="7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3"/>
        <v/>
      </c>
      <c r="S42" s="75" t="str">
        <f t="shared" si="4"/>
        <v/>
      </c>
      <c r="T42" s="75" t="str">
        <f t="shared" si="5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6"/>
        <v/>
      </c>
      <c r="G43" s="80" t="str">
        <f t="shared" si="7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3"/>
        <v/>
      </c>
      <c r="S43" s="75" t="str">
        <f t="shared" si="4"/>
        <v/>
      </c>
      <c r="T43" s="75" t="str">
        <f t="shared" si="5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6"/>
        <v/>
      </c>
      <c r="G44" s="80" t="str">
        <f t="shared" si="7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3"/>
        <v/>
      </c>
      <c r="S44" s="75" t="str">
        <f t="shared" si="4"/>
        <v/>
      </c>
      <c r="T44" s="75" t="str">
        <f t="shared" si="5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6"/>
        <v/>
      </c>
      <c r="G45" s="80" t="str">
        <f t="shared" si="7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3"/>
        <v/>
      </c>
      <c r="S45" s="75" t="str">
        <f t="shared" si="4"/>
        <v/>
      </c>
      <c r="T45" s="75" t="str">
        <f t="shared" si="5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6"/>
        <v/>
      </c>
      <c r="G46" s="80" t="str">
        <f t="shared" si="7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3"/>
        <v/>
      </c>
      <c r="S46" s="75" t="str">
        <f t="shared" si="4"/>
        <v/>
      </c>
      <c r="T46" s="75" t="str">
        <f t="shared" si="5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6"/>
        <v/>
      </c>
      <c r="G47" s="80" t="str">
        <f t="shared" si="7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3"/>
        <v/>
      </c>
      <c r="S47" s="75" t="str">
        <f t="shared" si="4"/>
        <v/>
      </c>
      <c r="T47" s="75" t="str">
        <f t="shared" si="5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6"/>
        <v/>
      </c>
      <c r="G48" s="80" t="str">
        <f t="shared" si="7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3"/>
        <v/>
      </c>
      <c r="S48" s="75" t="str">
        <f t="shared" si="4"/>
        <v/>
      </c>
      <c r="T48" s="75" t="str">
        <f t="shared" si="5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6"/>
        <v/>
      </c>
      <c r="G49" s="80" t="str">
        <f t="shared" si="7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3"/>
        <v/>
      </c>
      <c r="S49" s="75" t="str">
        <f t="shared" si="4"/>
        <v/>
      </c>
      <c r="T49" s="75" t="str">
        <f t="shared" si="5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6"/>
        <v/>
      </c>
      <c r="G50" s="80" t="str">
        <f t="shared" si="7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3"/>
        <v/>
      </c>
      <c r="S50" s="75" t="str">
        <f t="shared" si="4"/>
        <v/>
      </c>
      <c r="T50" s="75" t="str">
        <f t="shared" si="5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6"/>
        <v/>
      </c>
      <c r="G51" s="80" t="str">
        <f t="shared" si="7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3"/>
        <v/>
      </c>
      <c r="S51" s="75" t="str">
        <f t="shared" si="4"/>
        <v/>
      </c>
      <c r="T51" s="75" t="str">
        <f t="shared" si="5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6"/>
        <v/>
      </c>
      <c r="G52" s="80" t="str">
        <f t="shared" si="7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3"/>
        <v/>
      </c>
      <c r="S52" s="75" t="str">
        <f t="shared" si="4"/>
        <v/>
      </c>
      <c r="T52" s="75" t="str">
        <f t="shared" si="5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6"/>
        <v/>
      </c>
      <c r="G53" s="80" t="str">
        <f t="shared" si="7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3"/>
        <v/>
      </c>
      <c r="S53" s="75" t="str">
        <f t="shared" si="4"/>
        <v/>
      </c>
      <c r="T53" s="75" t="str">
        <f t="shared" si="5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6"/>
        <v/>
      </c>
      <c r="G54" s="80" t="str">
        <f t="shared" si="7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3"/>
        <v/>
      </c>
      <c r="S54" s="75" t="str">
        <f t="shared" si="4"/>
        <v/>
      </c>
      <c r="T54" s="75" t="str">
        <f t="shared" si="5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6"/>
        <v/>
      </c>
      <c r="G55" s="80" t="str">
        <f t="shared" si="7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3"/>
        <v/>
      </c>
      <c r="S55" s="75" t="str">
        <f t="shared" si="4"/>
        <v/>
      </c>
      <c r="T55" s="75" t="str">
        <f t="shared" si="5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6"/>
        <v/>
      </c>
      <c r="G56" s="80" t="str">
        <f t="shared" si="7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3"/>
        <v/>
      </c>
      <c r="S56" s="75" t="str">
        <f t="shared" si="4"/>
        <v/>
      </c>
      <c r="T56" s="75" t="str">
        <f t="shared" si="5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6"/>
        <v/>
      </c>
      <c r="G57" s="80" t="str">
        <f t="shared" si="7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3"/>
        <v/>
      </c>
      <c r="S57" s="75" t="str">
        <f t="shared" si="4"/>
        <v/>
      </c>
      <c r="T57" s="75" t="str">
        <f t="shared" si="5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6"/>
        <v/>
      </c>
      <c r="G58" s="80" t="str">
        <f t="shared" si="7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3"/>
        <v/>
      </c>
      <c r="S58" s="75" t="str">
        <f t="shared" si="4"/>
        <v/>
      </c>
      <c r="T58" s="75" t="str">
        <f t="shared" si="5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6"/>
        <v/>
      </c>
      <c r="G59" s="80" t="str">
        <f t="shared" si="7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3"/>
        <v/>
      </c>
      <c r="S59" s="75" t="str">
        <f t="shared" si="4"/>
        <v/>
      </c>
      <c r="T59" s="75" t="str">
        <f t="shared" si="5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6"/>
        <v/>
      </c>
      <c r="G60" s="80" t="str">
        <f t="shared" si="7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3"/>
        <v/>
      </c>
      <c r="S60" s="75" t="str">
        <f t="shared" si="4"/>
        <v/>
      </c>
      <c r="T60" s="75" t="str">
        <f t="shared" si="5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6"/>
        <v/>
      </c>
      <c r="G61" s="80" t="str">
        <f t="shared" si="7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3"/>
        <v/>
      </c>
      <c r="S61" s="75" t="str">
        <f t="shared" si="4"/>
        <v/>
      </c>
      <c r="T61" s="75" t="str">
        <f t="shared" si="5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6"/>
        <v/>
      </c>
      <c r="G62" s="80" t="str">
        <f t="shared" si="7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3"/>
        <v/>
      </c>
      <c r="S62" s="75" t="str">
        <f t="shared" si="4"/>
        <v/>
      </c>
      <c r="T62" s="75" t="str">
        <f t="shared" si="5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6"/>
        <v/>
      </c>
      <c r="G63" s="80" t="str">
        <f t="shared" si="7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3"/>
        <v/>
      </c>
      <c r="S63" s="75" t="str">
        <f t="shared" si="4"/>
        <v/>
      </c>
      <c r="T63" s="75" t="str">
        <f t="shared" si="5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6"/>
        <v/>
      </c>
      <c r="G64" s="80" t="str">
        <f t="shared" si="7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3"/>
        <v/>
      </c>
      <c r="S64" s="75" t="str">
        <f t="shared" si="4"/>
        <v/>
      </c>
      <c r="T64" s="75" t="str">
        <f t="shared" si="5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6"/>
        <v/>
      </c>
      <c r="G65" s="80" t="str">
        <f t="shared" si="7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3"/>
        <v/>
      </c>
      <c r="S65" s="75" t="str">
        <f t="shared" si="4"/>
        <v/>
      </c>
      <c r="T65" s="75" t="str">
        <f t="shared" si="5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6"/>
        <v/>
      </c>
      <c r="G66" s="80" t="str">
        <f t="shared" si="7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3"/>
        <v/>
      </c>
      <c r="S66" s="75" t="str">
        <f t="shared" si="4"/>
        <v/>
      </c>
      <c r="T66" s="75" t="str">
        <f t="shared" si="5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6"/>
        <v/>
      </c>
      <c r="G67" s="80" t="str">
        <f t="shared" si="7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3"/>
        <v/>
      </c>
      <c r="S67" s="75" t="str">
        <f t="shared" si="4"/>
        <v/>
      </c>
      <c r="T67" s="75" t="str">
        <f t="shared" si="5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2043</v>
      </c>
      <c r="AE72" s="75" t="s">
        <v>2044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2045</v>
      </c>
      <c r="AE73" s="75" t="s">
        <v>2046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2047</v>
      </c>
      <c r="AE74" s="75" t="s">
        <v>2048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2049</v>
      </c>
      <c r="AE75" s="75" t="s">
        <v>2050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2051</v>
      </c>
      <c r="AE76" s="75" t="s">
        <v>2052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2053</v>
      </c>
      <c r="AE77" s="75" t="s">
        <v>2054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2055</v>
      </c>
      <c r="AE78" s="75" t="s">
        <v>2056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2057</v>
      </c>
      <c r="AE79" s="75" t="s">
        <v>2058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2059</v>
      </c>
      <c r="AE80" s="75" t="s">
        <v>2060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2061</v>
      </c>
      <c r="AE81" s="75" t="s">
        <v>2062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2063</v>
      </c>
      <c r="AE82" s="75" t="s">
        <v>2064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2065</v>
      </c>
      <c r="AE83" s="75" t="s">
        <v>2066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3031</v>
      </c>
      <c r="AE84" s="75" t="s">
        <v>3032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3033</v>
      </c>
      <c r="AE85" s="75" t="s">
        <v>3034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3035</v>
      </c>
      <c r="AE86" s="75" t="s">
        <v>3036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3037</v>
      </c>
      <c r="AE87" s="75" t="s">
        <v>3038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3039</v>
      </c>
      <c r="AE88" s="75" t="s">
        <v>3040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3041</v>
      </c>
      <c r="AE89" s="75" t="s">
        <v>3042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3043</v>
      </c>
      <c r="AE90" s="75" t="s">
        <v>3044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3045</v>
      </c>
      <c r="AE91" s="75" t="s">
        <v>3046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3047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3048</v>
      </c>
      <c r="AE95" s="75" t="s">
        <v>3049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3050</v>
      </c>
      <c r="AE96" s="75" t="s">
        <v>3051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3052</v>
      </c>
      <c r="AE97" s="75" t="s">
        <v>3053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3054</v>
      </c>
      <c r="AE98" s="75" t="s">
        <v>3055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2067</v>
      </c>
      <c r="AE144" s="75" t="s">
        <v>2068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2069</v>
      </c>
      <c r="AE145" s="75" t="s">
        <v>2070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2071</v>
      </c>
      <c r="AE146" s="75" t="s">
        <v>2072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2073</v>
      </c>
      <c r="AE147" s="75" t="s">
        <v>2074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2075</v>
      </c>
      <c r="AE148" s="75" t="s">
        <v>2076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2077</v>
      </c>
      <c r="AE149" s="75" t="s">
        <v>2078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2079</v>
      </c>
      <c r="AE150" s="75" t="s">
        <v>2080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2081</v>
      </c>
      <c r="AE151" s="75" t="s">
        <v>2082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2083</v>
      </c>
      <c r="AE152" s="75" t="s">
        <v>2084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2085</v>
      </c>
      <c r="AE153" s="75" t="s">
        <v>2086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2087</v>
      </c>
      <c r="AE154" s="75" t="s">
        <v>2030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2088</v>
      </c>
      <c r="AE155" s="75" t="s">
        <v>2089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2090</v>
      </c>
      <c r="AE156" s="75" t="s">
        <v>2091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2092</v>
      </c>
      <c r="AE157" s="75" t="s">
        <v>2093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2094</v>
      </c>
      <c r="AE158" s="75" t="s">
        <v>2095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2096</v>
      </c>
      <c r="AE159" s="75" t="s">
        <v>2097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2098</v>
      </c>
      <c r="AE160" s="75" t="s">
        <v>2099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2100</v>
      </c>
      <c r="AE161" s="75" t="s">
        <v>2101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2102</v>
      </c>
      <c r="AE162" s="75" t="s">
        <v>2103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2104</v>
      </c>
      <c r="AE163" s="75" t="s">
        <v>2105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2106</v>
      </c>
      <c r="AE164" s="75" t="s">
        <v>2107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2108</v>
      </c>
      <c r="AE165" s="75" t="s">
        <v>2109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2110</v>
      </c>
      <c r="AE166" s="75" t="s">
        <v>2111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2112</v>
      </c>
      <c r="AE167" s="75" t="s">
        <v>2113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2114</v>
      </c>
      <c r="AE168" s="75" t="s">
        <v>2115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2116</v>
      </c>
      <c r="AE169" s="75" t="s">
        <v>2117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2118</v>
      </c>
      <c r="AE170" s="75" t="s">
        <v>2119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2120</v>
      </c>
      <c r="AE171" s="75" t="s">
        <v>2121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2122</v>
      </c>
      <c r="AE172" s="75" t="s">
        <v>2123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2124</v>
      </c>
      <c r="AE173" s="75" t="s">
        <v>2125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2126</v>
      </c>
      <c r="AE174" s="75" t="s">
        <v>2127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2128</v>
      </c>
      <c r="AE175" s="75" t="s">
        <v>2129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2130</v>
      </c>
      <c r="AE176" s="75" t="s">
        <v>2131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2132</v>
      </c>
      <c r="AE177" s="75" t="s">
        <v>2133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2134</v>
      </c>
      <c r="AE178" s="75" t="s">
        <v>2135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2136</v>
      </c>
      <c r="AE179" s="75" t="s">
        <v>2137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2138</v>
      </c>
      <c r="AE180" s="75" t="s">
        <v>2139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2140</v>
      </c>
      <c r="AE181" s="75" t="s">
        <v>2141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2142</v>
      </c>
      <c r="AE182" s="75" t="s">
        <v>2143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2144</v>
      </c>
      <c r="AE183" s="75" t="s">
        <v>2145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2146</v>
      </c>
      <c r="AE184" s="75" t="s">
        <v>2147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2148</v>
      </c>
      <c r="AE185" s="75" t="s">
        <v>2149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2150</v>
      </c>
      <c r="AE186" s="75" t="s">
        <v>2151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2152</v>
      </c>
      <c r="AE187" s="75" t="s">
        <v>2153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2154</v>
      </c>
      <c r="AE188" s="75" t="s">
        <v>2155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2156</v>
      </c>
      <c r="AE189" s="75" t="s">
        <v>2157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2158</v>
      </c>
      <c r="AE190" s="75" t="s">
        <v>2159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2160</v>
      </c>
      <c r="AE191" s="75" t="s">
        <v>2161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2162</v>
      </c>
      <c r="AE192" s="75" t="s">
        <v>2163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2164</v>
      </c>
      <c r="AE193" s="75" t="s">
        <v>2165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2166</v>
      </c>
      <c r="AE194" s="75" t="s">
        <v>2167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2168</v>
      </c>
      <c r="AE195" s="75" t="s">
        <v>2169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2170</v>
      </c>
      <c r="AE196" s="75" t="s">
        <v>2171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2172</v>
      </c>
      <c r="AE197" s="75" t="s">
        <v>2173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3056</v>
      </c>
      <c r="AE198" s="75" t="s">
        <v>3057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3058</v>
      </c>
      <c r="AE199" s="75" t="s">
        <v>3059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3060</v>
      </c>
      <c r="AE200" s="75" t="s">
        <v>3061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3062</v>
      </c>
      <c r="AE201" s="75" t="s">
        <v>3063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3064</v>
      </c>
      <c r="AE202" s="75" t="s">
        <v>3065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3066</v>
      </c>
      <c r="AE203" s="75" t="s">
        <v>3067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3068</v>
      </c>
      <c r="AE204" s="75" t="s">
        <v>2514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3069</v>
      </c>
      <c r="AE205" s="75" t="s">
        <v>3070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3071</v>
      </c>
      <c r="AE206" s="75" t="s">
        <v>3072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3073</v>
      </c>
      <c r="AE207" s="75" t="s">
        <v>3074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3075</v>
      </c>
      <c r="AE208" s="75" t="s">
        <v>3076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3077</v>
      </c>
      <c r="AE209" s="75" t="s">
        <v>3078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3079</v>
      </c>
      <c r="AE210" s="75" t="s">
        <v>3080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3081</v>
      </c>
      <c r="AE211" s="75" t="s">
        <v>3082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3083</v>
      </c>
      <c r="AE212" s="75" t="s">
        <v>3084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3085</v>
      </c>
      <c r="AE213" s="75" t="s">
        <v>3086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3087</v>
      </c>
      <c r="AE214" s="75" t="s">
        <v>3088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3089</v>
      </c>
      <c r="AE215" s="75" t="s">
        <v>3090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3091</v>
      </c>
      <c r="AE216" s="75" t="s">
        <v>3092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3093</v>
      </c>
      <c r="AE217" s="75" t="s">
        <v>3094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3095</v>
      </c>
      <c r="AE218" s="75" t="s">
        <v>3096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2174</v>
      </c>
      <c r="AE219" s="75" t="s">
        <v>2175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2176</v>
      </c>
      <c r="AE220" s="75" t="s">
        <v>2177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2178</v>
      </c>
      <c r="AE221" s="75" t="s">
        <v>2179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2180</v>
      </c>
      <c r="AE222" s="75" t="s">
        <v>2181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2182</v>
      </c>
      <c r="AE223" s="75" t="s">
        <v>2183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2184</v>
      </c>
      <c r="AE224" s="75" t="s">
        <v>2185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2186</v>
      </c>
      <c r="AE225" s="75" t="s">
        <v>2187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2188</v>
      </c>
      <c r="AE226" s="75" t="s">
        <v>2189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2190</v>
      </c>
      <c r="AE227" s="75" t="s">
        <v>2191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2192</v>
      </c>
      <c r="AE228" s="75" t="s">
        <v>2193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2194</v>
      </c>
      <c r="AE229" s="75" t="s">
        <v>2195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2196</v>
      </c>
      <c r="AE230" s="75" t="s">
        <v>2197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2198</v>
      </c>
      <c r="AE231" s="75" t="s">
        <v>2199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2200</v>
      </c>
      <c r="AE232" s="75" t="s">
        <v>2201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3097</v>
      </c>
      <c r="AE233" s="75" t="s">
        <v>3098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3099</v>
      </c>
      <c r="AE234" s="75" t="s">
        <v>3100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3101</v>
      </c>
      <c r="AE235" s="75" t="s">
        <v>3102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3103</v>
      </c>
      <c r="AE236" s="75" t="s">
        <v>3104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2202</v>
      </c>
      <c r="AE249" s="75" t="s">
        <v>2203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2204</v>
      </c>
      <c r="AE250" s="75" t="s">
        <v>2205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2206</v>
      </c>
      <c r="AE251" s="75" t="s">
        <v>2207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2208</v>
      </c>
      <c r="AE252" s="75" t="s">
        <v>2209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2210</v>
      </c>
      <c r="AE253" s="75" t="s">
        <v>2211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2212</v>
      </c>
      <c r="AE254" s="75" t="s">
        <v>2213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2214</v>
      </c>
      <c r="AE255" s="75" t="s">
        <v>2215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2216</v>
      </c>
      <c r="AE256" s="75" t="s">
        <v>2217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3105</v>
      </c>
      <c r="AE257" s="75" t="s">
        <v>3106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3107</v>
      </c>
      <c r="AE258" s="75" t="s">
        <v>3108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3109</v>
      </c>
      <c r="AE259" s="75" t="s">
        <v>3110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3111</v>
      </c>
      <c r="AE260" s="75" t="s">
        <v>3112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3113</v>
      </c>
      <c r="AE261" s="75" t="s">
        <v>3114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3115</v>
      </c>
      <c r="AE262" s="75" t="s">
        <v>3116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2218</v>
      </c>
      <c r="AE267" s="75" t="s">
        <v>2219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2220</v>
      </c>
      <c r="AE268" s="75" t="s">
        <v>2221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2222</v>
      </c>
      <c r="AE269" s="75" t="s">
        <v>2223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2224</v>
      </c>
      <c r="AE270" s="75" t="s">
        <v>2225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2226</v>
      </c>
      <c r="AE271" s="75" t="s">
        <v>2227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3117</v>
      </c>
      <c r="AE272" s="75" t="s">
        <v>3118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3119</v>
      </c>
      <c r="AE273" s="75" t="s">
        <v>3120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3121</v>
      </c>
      <c r="AE274" s="75" t="s">
        <v>3122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3123</v>
      </c>
      <c r="AE275" s="75" t="s">
        <v>2227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3124</v>
      </c>
      <c r="AE276" s="75" t="s">
        <v>3125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3126</v>
      </c>
      <c r="AE277" s="75" t="s">
        <v>3127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3128</v>
      </c>
      <c r="AE278" s="75" t="s">
        <v>3129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3130</v>
      </c>
      <c r="AE279" s="75" t="s">
        <v>3131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2228</v>
      </c>
      <c r="AE283" s="75" t="s">
        <v>2229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2230</v>
      </c>
      <c r="AE284" s="75" t="s">
        <v>2231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2232</v>
      </c>
      <c r="AE285" s="75" t="s">
        <v>2233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2234</v>
      </c>
      <c r="AE286" s="75" t="s">
        <v>2235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2236</v>
      </c>
      <c r="AE287" s="75" t="s">
        <v>2237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2238</v>
      </c>
      <c r="AE288" s="75" t="s">
        <v>2239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2240</v>
      </c>
      <c r="AE289" s="75" t="s">
        <v>2241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2242</v>
      </c>
      <c r="AE290" s="75" t="s">
        <v>2243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2244</v>
      </c>
      <c r="AE291" s="75" t="s">
        <v>2245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3132</v>
      </c>
      <c r="AE292" s="75" t="s">
        <v>3133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3134</v>
      </c>
      <c r="AE293" s="75" t="s">
        <v>3135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3136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3137</v>
      </c>
      <c r="AE297" s="75" t="s">
        <v>3138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3139</v>
      </c>
      <c r="AE303" s="75" t="s">
        <v>3140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2246</v>
      </c>
      <c r="AE350" s="75" t="s">
        <v>2247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2248</v>
      </c>
      <c r="AE351" s="75" t="s">
        <v>2249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2250</v>
      </c>
      <c r="AE352" s="75" t="s">
        <v>2251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2252</v>
      </c>
      <c r="AE353" s="75" t="s">
        <v>2253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2254</v>
      </c>
      <c r="AE354" s="75" t="s">
        <v>2255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2256</v>
      </c>
      <c r="AE355" s="75" t="s">
        <v>2257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2258</v>
      </c>
      <c r="AE356" s="75" t="s">
        <v>2259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2260</v>
      </c>
      <c r="AE357" s="75" t="s">
        <v>2261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2262</v>
      </c>
      <c r="AE358" s="75" t="s">
        <v>2263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2264</v>
      </c>
      <c r="AE359" s="75" t="s">
        <v>2265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2266</v>
      </c>
      <c r="AE360" s="75" t="s">
        <v>2267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2268</v>
      </c>
      <c r="AE361" s="75" t="s">
        <v>2269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2270</v>
      </c>
      <c r="AE362" s="75" t="s">
        <v>2271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2272</v>
      </c>
      <c r="AE363" s="75" t="s">
        <v>2273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2274</v>
      </c>
      <c r="AE364" s="75" t="s">
        <v>2275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2276</v>
      </c>
      <c r="AE365" s="75" t="s">
        <v>2277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2278</v>
      </c>
      <c r="AE366" s="75" t="s">
        <v>2279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2280</v>
      </c>
      <c r="AE367" s="75" t="s">
        <v>2281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2282</v>
      </c>
      <c r="AE368" s="75" t="s">
        <v>2283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2284</v>
      </c>
      <c r="AE369" s="75" t="s">
        <v>2285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2286</v>
      </c>
      <c r="AE370" s="75" t="s">
        <v>2287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2288</v>
      </c>
      <c r="AE371" s="75" t="s">
        <v>2289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2290</v>
      </c>
      <c r="AE372" s="75" t="s">
        <v>2291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2292</v>
      </c>
      <c r="AE373" s="75" t="s">
        <v>2293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2294</v>
      </c>
      <c r="AE374" s="75" t="s">
        <v>2295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2296</v>
      </c>
      <c r="AE375" s="75" t="s">
        <v>2297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2298</v>
      </c>
      <c r="AE376" s="75" t="s">
        <v>2299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2300</v>
      </c>
      <c r="AE377" s="75" t="s">
        <v>2301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2302</v>
      </c>
      <c r="AE378" s="75" t="s">
        <v>2303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2304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2305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2306</v>
      </c>
      <c r="AE381" s="75" t="s">
        <v>2307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2308</v>
      </c>
      <c r="AE382" s="75" t="s">
        <v>2309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2310</v>
      </c>
      <c r="AE383" s="75" t="s">
        <v>2311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2312</v>
      </c>
      <c r="AE384" s="75" t="s">
        <v>2313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2314</v>
      </c>
      <c r="AE385" s="75" t="s">
        <v>2315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2316</v>
      </c>
      <c r="AE386" s="75" t="s">
        <v>2317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2318</v>
      </c>
      <c r="AE387" s="75" t="s">
        <v>2319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2320</v>
      </c>
      <c r="AE388" s="75" t="s">
        <v>2321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2322</v>
      </c>
      <c r="AE389" s="75" t="s">
        <v>2323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2324</v>
      </c>
      <c r="AE390" s="75" t="s">
        <v>2325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3141</v>
      </c>
      <c r="AE391" s="75" t="s">
        <v>3142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3143</v>
      </c>
      <c r="AE392" s="75" t="s">
        <v>3144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3145</v>
      </c>
      <c r="AE393" s="75" t="s">
        <v>3146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3147</v>
      </c>
      <c r="AE394" s="75" t="s">
        <v>3148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3149</v>
      </c>
      <c r="AE395" s="75" t="s">
        <v>3150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3151</v>
      </c>
      <c r="AE396" s="75" t="s">
        <v>3152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3153</v>
      </c>
      <c r="AE397" s="75" t="s">
        <v>3154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3155</v>
      </c>
      <c r="AE398" s="75" t="s">
        <v>3156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3157</v>
      </c>
      <c r="AE399" s="75" t="s">
        <v>3158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3159</v>
      </c>
      <c r="AE400" s="75" t="s">
        <v>3160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3161</v>
      </c>
      <c r="AE401" s="75" t="s">
        <v>3162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3163</v>
      </c>
      <c r="AE402" s="75" t="s">
        <v>3164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3165</v>
      </c>
      <c r="AE403" s="75" t="s">
        <v>3166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3167</v>
      </c>
      <c r="AE404" s="75" t="s">
        <v>3168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3169</v>
      </c>
      <c r="AE405" s="75" t="s">
        <v>3170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3171</v>
      </c>
      <c r="AE406" s="75" t="s">
        <v>3172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3173</v>
      </c>
      <c r="AE407" s="75" t="s">
        <v>3174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3175</v>
      </c>
      <c r="AE408" s="75" t="s">
        <v>3176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3177</v>
      </c>
      <c r="AE409" s="75" t="s">
        <v>3178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3179</v>
      </c>
      <c r="AE410" s="75" t="s">
        <v>3180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3181</v>
      </c>
      <c r="AE411" s="75" t="s">
        <v>3182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3183</v>
      </c>
      <c r="AE412" s="75" t="s">
        <v>3184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3185</v>
      </c>
      <c r="AE413" s="75" t="s">
        <v>3186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3187</v>
      </c>
      <c r="AE414" s="75" t="s">
        <v>3188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3189</v>
      </c>
      <c r="AE418" s="75" t="s">
        <v>3190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3191</v>
      </c>
      <c r="AE419" s="75" t="s">
        <v>3192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3193</v>
      </c>
      <c r="AE420" s="75" t="s">
        <v>3194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3195</v>
      </c>
      <c r="AE421" s="75" t="s">
        <v>3196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59"/>
  <sheetViews>
    <sheetView showGridLines="0" zoomScale="115" zoomScaleNormal="115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E18" sqref="E1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55" t="s">
        <v>5081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</row>
    <row r="2" spans="1:21" ht="15.6" customHeight="1">
      <c r="A2" s="355"/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</row>
    <row r="3" spans="1:21" ht="15.6" customHeight="1">
      <c r="A3" s="355" t="s">
        <v>5082</v>
      </c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</row>
    <row r="4" spans="1:21" ht="15.6" customHeight="1">
      <c r="A4" s="355"/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</row>
    <row r="5" spans="1:21" ht="15.6" customHeight="1">
      <c r="A5" s="355" t="s">
        <v>5106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1873101.8647534675</v>
      </c>
      <c r="D8" s="60">
        <f>+D19+D16</f>
        <v>1506004.84</v>
      </c>
      <c r="E8" s="60">
        <f>+E19+E16</f>
        <v>0</v>
      </c>
      <c r="F8" s="60">
        <f>+F19+F16</f>
        <v>796.33685048775624</v>
      </c>
      <c r="G8" s="60">
        <f t="shared" ref="G8:U8" si="0">+G19+G16</f>
        <v>0</v>
      </c>
      <c r="H8" s="60">
        <f t="shared" si="0"/>
        <v>144993.7036299688</v>
      </c>
      <c r="I8" s="60">
        <f>+I19+I16</f>
        <v>0</v>
      </c>
      <c r="J8" s="60">
        <f t="shared" si="0"/>
        <v>205414.04645364656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15892.937819364257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18" si="1">SUM(D9:U9)</f>
        <v>0</v>
      </c>
      <c r="D9" s="120">
        <f>SUMIFS('Unos prihoda i primitaka'!$G$3:$G$500,'Unos prihoda i primitaka'!$C$3:$C$500,"=11",'Unos prihoda i primitaka'!$L$3:$L$500,"=61")</f>
        <v>0</v>
      </c>
      <c r="E9" s="120">
        <f>SUMIFS('Unos prihoda i primitaka'!$G$3:$G$500,'Unos prihoda i primitaka'!$C$3:$C$500,"=12",'Unos prihoda i primitaka'!$L$3:$L$500,"=61")</f>
        <v>0</v>
      </c>
      <c r="F9" s="120">
        <f>SUMIFS('Unos prihoda i primitaka'!$G$3:$G$500,'Unos prihoda i primitaka'!$C$3:$C$500,"=31",'Unos prihoda i primitaka'!$L$3:$L$500,"=61")</f>
        <v>0</v>
      </c>
      <c r="G9" s="120">
        <f>SUMIFS('Unos prihoda i primitaka'!$G$3:$G$500,'Unos prihoda i primitaka'!$C$3:$C$500,"=41",'Unos prihoda i primitaka'!$L$3:$L$500,"=61")</f>
        <v>0</v>
      </c>
      <c r="H9" s="120">
        <f>SUMIFS('Unos prihoda i primitaka'!$G$3:$G$500,'Unos prihoda i primitaka'!$C$3:$C$500,"=43",'Unos prihoda i primitaka'!$L$3:$L$500,"=61")</f>
        <v>0</v>
      </c>
      <c r="I9" s="120">
        <f>SUMIFS('Unos prihoda i primitaka'!$G$3:$G$500,'Unos prihoda i primitaka'!$C$3:$C$500,"=51",'Unos prihoda i primitaka'!$L$3:$L$500,"=61")</f>
        <v>0</v>
      </c>
      <c r="J9" s="120">
        <f>SUMIFS('Unos prihoda i primitaka'!$G$3:$G$500,'Unos prihoda i primitaka'!$C$3:$C$500,"=52",'Unos prihoda i primitaka'!$L$3:$L$500,"=61")</f>
        <v>0</v>
      </c>
      <c r="K9" s="120">
        <f>SUMIFS('Unos prihoda i primitaka'!$G$3:$G$500,'Unos prihoda i primitaka'!$C$3:$C$500,"=552",'Unos prihoda i primitaka'!$L$3:$L$500,"=61")</f>
        <v>0</v>
      </c>
      <c r="L9" s="120">
        <f>SUMIFS('Unos prihoda i primitaka'!$G$3:$G$500,'Unos prihoda i primitaka'!$C$3:$C$500,"=559",'Unos prihoda i primitaka'!$L$3:$L$500,"=61")</f>
        <v>0</v>
      </c>
      <c r="M9" s="120">
        <f>SUMIFS('Unos prihoda i primitaka'!$G$3:$G$500,'Unos prihoda i primitaka'!$C$3:$C$500,"=561",'Unos prihoda i primitaka'!$L$3:$L$500,"=61")</f>
        <v>0</v>
      </c>
      <c r="N9" s="120">
        <f>SUMIFS('Unos prihoda i primitaka'!$G$3:$G$500,'Unos prihoda i primitaka'!$C$3:$C$500,"=563",'Unos prihoda i primitaka'!$L$3:$L$500,"=61")</f>
        <v>0</v>
      </c>
      <c r="O9" s="120">
        <f>SUMIFS('Unos prihoda i primitaka'!$G$3:$G$500,'Unos prihoda i primitaka'!$C$3:$C$500,"=573",'Unos prihoda i primitaka'!$L$3:$L$500,"=61")</f>
        <v>0</v>
      </c>
      <c r="P9" s="120">
        <f>SUMIFS('Unos prihoda i primitaka'!$G$3:$G$500,'Unos prihoda i primitaka'!$C$3:$C$500,"=575",'Unos prihoda i primitaka'!$L$3:$L$500,"=61")</f>
        <v>0</v>
      </c>
      <c r="Q9" s="120">
        <f>SUMIFS('Unos prihoda i primitaka'!$G$3:$G$500,'Unos prihoda i primitaka'!$C$3:$C$500,"=576",'Unos prihoda i primitaka'!$L$3:$L$500,"=61")</f>
        <v>0</v>
      </c>
      <c r="R9" s="120">
        <f>SUMIFS('Unos prihoda i primitaka'!$G$3:$G$500,'Unos prihoda i primitaka'!$C$3:$C$500,"=581",'Unos prihoda i primitaka'!$L$3:$L$500,"=61")</f>
        <v>0</v>
      </c>
      <c r="S9" s="120">
        <f>SUMIFS('Unos prihoda i primitaka'!$G$3:$G$500,'Unos prihoda i primitaka'!$C$3:$C$500,"=61",'Unos prihoda i primitaka'!$L$3:$L$500,"=61")</f>
        <v>0</v>
      </c>
      <c r="T9" s="120">
        <f>SUMIFS('Unos prihoda i primitaka'!$G$3:$G$500,'Unos prihoda i primitaka'!$C$3:$C$500,"=63",'Unos prihoda i primitaka'!$L$3:$L$500,"=61")</f>
        <v>0</v>
      </c>
      <c r="U9" s="120">
        <f>SUMIFS('Unos prihoda i primitaka'!$G$3:$G$500,'Unos prihoda i primitaka'!$C$3:$C$500,"=71",'Unos prihoda i primitaka'!$L$3:$L$500,"=61")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205414.04645364656</v>
      </c>
      <c r="D10" s="120">
        <f>SUMIFS('Unos prihoda i primitaka'!$G$3:$G$500,'Unos prihoda i primitaka'!$C$3:$C$500,"=11",'Unos prihoda i primitaka'!$L$3:$L$500,"=63")</f>
        <v>0</v>
      </c>
      <c r="E10" s="120">
        <f>SUMIFS('Unos prihoda i primitaka'!$G$3:$G$500,'Unos prihoda i primitaka'!$C$3:$C$500,"=12",'Unos prihoda i primitaka'!$L$3:$L$500,"=63")</f>
        <v>0</v>
      </c>
      <c r="F10" s="120">
        <f>SUMIFS('Unos prihoda i primitaka'!$G$3:$G$500,'Unos prihoda i primitaka'!$C$3:$C$500,"=31",'Unos prihoda i primitaka'!$L$3:$L$500,"=63")</f>
        <v>0</v>
      </c>
      <c r="G10" s="120">
        <f>SUMIFS('Unos prihoda i primitaka'!$G$3:$G$500,'Unos prihoda i primitaka'!$C$3:$C$500,"=41",'Unos prihoda i primitaka'!$L$3:$L$500,"=63")</f>
        <v>0</v>
      </c>
      <c r="H10" s="120">
        <f>SUMIFS('Unos prihoda i primitaka'!$G$3:$G$500,'Unos prihoda i primitaka'!$C$3:$C$500,"=43",'Unos prihoda i primitaka'!$L$3:$L$500,"=63")</f>
        <v>0</v>
      </c>
      <c r="I10" s="120">
        <f>SUMIFS('Unos prihoda i primitaka'!$G$3:$G$500,'Unos prihoda i primitaka'!$C$3:$C$500,"=51",'Unos prihoda i primitaka'!$L$3:$L$500,"=63")</f>
        <v>0</v>
      </c>
      <c r="J10" s="120">
        <f>SUMIFS('Unos prihoda i primitaka'!$G$3:$G$500,'Unos prihoda i primitaka'!$C$3:$C$500,"=52",'Unos prihoda i primitaka'!$L$3:$L$500,"=63")</f>
        <v>205414.04645364656</v>
      </c>
      <c r="K10" s="120">
        <f>SUMIFS('Unos prihoda i primitaka'!$G$3:$G$500,'Unos prihoda i primitaka'!$C$3:$C$500,"=552",'Unos prihoda i primitaka'!$L$3:$L$500,"=63")</f>
        <v>0</v>
      </c>
      <c r="L10" s="120">
        <f>SUMIFS('Unos prihoda i primitaka'!$G$3:$G$500,'Unos prihoda i primitaka'!$C$3:$C$500,"=559",'Unos prihoda i primitaka'!$L$3:$L$500,"=63")</f>
        <v>0</v>
      </c>
      <c r="M10" s="120">
        <f>SUMIFS('Unos prihoda i primitaka'!$G$3:$G$500,'Unos prihoda i primitaka'!$C$3:$C$500,"=561",'Unos prihoda i primitaka'!$L$3:$L$500,"=63")</f>
        <v>0</v>
      </c>
      <c r="N10" s="120">
        <f>SUMIFS('Unos prihoda i primitaka'!$G$3:$G$500,'Unos prihoda i primitaka'!$C$3:$C$500,"=563",'Unos prihoda i primitaka'!$L$3:$L$500,"=63")</f>
        <v>0</v>
      </c>
      <c r="O10" s="120">
        <f>SUMIFS('Unos prihoda i primitaka'!$G$3:$G$500,'Unos prihoda i primitaka'!$C$3:$C$500,"=573",'Unos prihoda i primitaka'!$L$3:$L$500,"=63")</f>
        <v>0</v>
      </c>
      <c r="P10" s="120">
        <f>SUMIFS('Unos prihoda i primitaka'!$G$3:$G$500,'Unos prihoda i primitaka'!$C$3:$C$500,"=575",'Unos prihoda i primitaka'!$L$3:$L$500,"=63")</f>
        <v>0</v>
      </c>
      <c r="Q10" s="120">
        <f>SUMIFS('Unos prihoda i primitaka'!$G$3:$G$500,'Unos prihoda i primitaka'!$C$3:$C$500,"=576",'Unos prihoda i primitaka'!$L$3:$L$500,"=63")</f>
        <v>0</v>
      </c>
      <c r="R10" s="120">
        <f>SUMIFS('Unos prihoda i primitaka'!$G$3:$G$500,'Unos prihoda i primitaka'!$C$3:$C$500,"=581",'Unos prihoda i primitaka'!$L$3:$L$500,"=63")</f>
        <v>0</v>
      </c>
      <c r="S10" s="120">
        <f>SUMIFS('Unos prihoda i primitaka'!$G$3:$G$500,'Unos prihoda i primitaka'!$C$3:$C$500,"=61",'Unos prihoda i primitaka'!$L$3:$L$500,"=63")</f>
        <v>0</v>
      </c>
      <c r="T10" s="120">
        <f>SUMIFS('Unos prihoda i primitaka'!$G$3:$G$500,'Unos prihoda i primitaka'!$C$3:$C$500,"=63",'Unos prihoda i primitaka'!$L$3:$L$500,"=63")</f>
        <v>0</v>
      </c>
      <c r="U10" s="120">
        <f>SUMIFS('Unos prihoda i primitaka'!$G$3:$G$500,'Unos prihoda i primitaka'!$C$3:$C$500,"=71",'Unos prihoda i primitaka'!$L$3:$L$500,"=63")</f>
        <v>0</v>
      </c>
    </row>
    <row r="11" spans="1:21" s="38" customFormat="1">
      <c r="A11" s="42" t="s">
        <v>5089</v>
      </c>
      <c r="B11" s="43" t="s">
        <v>5088</v>
      </c>
      <c r="C11" s="27">
        <f t="shared" si="1"/>
        <v>0</v>
      </c>
      <c r="D11" s="120">
        <f>SUMIFS('Unos prihoda i primitaka'!$G$3:$G$500,'Unos prihoda i primitaka'!$C$3:$C$500,"=11",'Unos prihoda i primitaka'!$L$3:$L$500,"=64")</f>
        <v>0</v>
      </c>
      <c r="E11" s="120">
        <f>SUMIFS('Unos prihoda i primitaka'!$G$3:$G$500,'Unos prihoda i primitaka'!$C$3:$C$500,"=12",'Unos prihoda i primitaka'!$L$3:$L$500,"=64")</f>
        <v>0</v>
      </c>
      <c r="F11" s="120">
        <f>SUMIFS('Unos prihoda i primitaka'!$G$3:$G$500,'Unos prihoda i primitaka'!$C$3:$C$500,"=31",'Unos prihoda i primitaka'!$L$3:$L$500,"=64")</f>
        <v>0</v>
      </c>
      <c r="G11" s="120">
        <f>SUMIFS('Unos prihoda i primitaka'!$G$3:$G$500,'Unos prihoda i primitaka'!$C$3:$C$500,"=41",'Unos prihoda i primitaka'!$L$3:$L$500,"=64")</f>
        <v>0</v>
      </c>
      <c r="H11" s="120">
        <f>SUMIFS('Unos prihoda i primitaka'!$G$3:$G$500,'Unos prihoda i primitaka'!$C$3:$C$500,"=43",'Unos prihoda i primitaka'!$L$3:$L$500,"=64")</f>
        <v>0</v>
      </c>
      <c r="I11" s="120">
        <f>SUMIFS('Unos prihoda i primitaka'!$G$3:$G$500,'Unos prihoda i primitaka'!$C$3:$C$500,"=51",'Unos prihoda i primitaka'!$L$3:$L$500,"=64")</f>
        <v>0</v>
      </c>
      <c r="J11" s="120">
        <f>SUMIFS('Unos prihoda i primitaka'!$G$3:$G$500,'Unos prihoda i primitaka'!$C$3:$C$500,"=52",'Unos prihoda i primitaka'!$L$3:$L$500,"=64")</f>
        <v>0</v>
      </c>
      <c r="K11" s="120">
        <f>SUMIFS('Unos prihoda i primitaka'!$G$3:$G$500,'Unos prihoda i primitaka'!$C$3:$C$500,"=552",'Unos prihoda i primitaka'!$L$3:$L$500,"=64")</f>
        <v>0</v>
      </c>
      <c r="L11" s="120">
        <f>SUMIFS('Unos prihoda i primitaka'!$G$3:$G$500,'Unos prihoda i primitaka'!$C$3:$C$500,"=559",'Unos prihoda i primitaka'!$L$3:$L$500,"=64")</f>
        <v>0</v>
      </c>
      <c r="M11" s="120">
        <f>SUMIFS('Unos prihoda i primitaka'!$G$3:$G$500,'Unos prihoda i primitaka'!$C$3:$C$500,"=561",'Unos prihoda i primitaka'!$L$3:$L$500,"=64")</f>
        <v>0</v>
      </c>
      <c r="N11" s="120">
        <f>SUMIFS('Unos prihoda i primitaka'!$G$3:$G$500,'Unos prihoda i primitaka'!$C$3:$C$500,"=563",'Unos prihoda i primitaka'!$L$3:$L$500,"=64")</f>
        <v>0</v>
      </c>
      <c r="O11" s="120">
        <f>SUMIFS('Unos prihoda i primitaka'!$G$3:$G$500,'Unos prihoda i primitaka'!$C$3:$C$500,"=573",'Unos prihoda i primitaka'!$L$3:$L$500,"=64")</f>
        <v>0</v>
      </c>
      <c r="P11" s="120">
        <f>SUMIFS('Unos prihoda i primitaka'!$G$3:$G$500,'Unos prihoda i primitaka'!$C$3:$C$500,"=575",'Unos prihoda i primitaka'!$L$3:$L$500,"=64")</f>
        <v>0</v>
      </c>
      <c r="Q11" s="120">
        <f>SUMIFS('Unos prihoda i primitaka'!$G$3:$G$500,'Unos prihoda i primitaka'!$C$3:$C$500,"=576",'Unos prihoda i primitaka'!$L$3:$L$500,"=64")</f>
        <v>0</v>
      </c>
      <c r="R11" s="120">
        <f>SUMIFS('Unos prihoda i primitaka'!$G$3:$G$500,'Unos prihoda i primitaka'!$C$3:$C$500,"=581",'Unos prihoda i primitaka'!$L$3:$L$500,"=64")</f>
        <v>0</v>
      </c>
      <c r="S11" s="120">
        <f>SUMIFS('Unos prihoda i primitaka'!$G$3:$G$500,'Unos prihoda i primitaka'!$C$3:$C$500,"=61",'Unos prihoda i primitaka'!$L$3:$L$500,"=64")</f>
        <v>0</v>
      </c>
      <c r="T11" s="120">
        <f>SUMIFS('Unos prihoda i primitaka'!$G$3:$G$500,'Unos prihoda i primitaka'!$C$3:$C$500,"=63",'Unos prihoda i primitaka'!$L$3:$L$500,"=64")</f>
        <v>0</v>
      </c>
      <c r="U11" s="120">
        <f>SUMIFS('Unos prihoda i primitaka'!$G$3:$G$500,'Unos prihoda i primitaka'!$C$3:$C$500,"=71",'Unos prihoda i primitaka'!$L$3:$L$500,"=64")</f>
        <v>0</v>
      </c>
    </row>
    <row r="12" spans="1:21" s="38" customFormat="1" ht="25.5">
      <c r="A12" s="42" t="s">
        <v>5090</v>
      </c>
      <c r="B12" s="43" t="s">
        <v>5091</v>
      </c>
      <c r="C12" s="27">
        <f t="shared" si="1"/>
        <v>144993.7036299688</v>
      </c>
      <c r="D12" s="120">
        <f>SUMIFS('Unos prihoda i primitaka'!$G$3:$G$500,'Unos prihoda i primitaka'!$C$3:$C$500,"=11",'Unos prihoda i primitaka'!$L$3:$L$500,"=65")</f>
        <v>0</v>
      </c>
      <c r="E12" s="120">
        <f>SUMIFS('Unos prihoda i primitaka'!$G$3:$G$500,'Unos prihoda i primitaka'!$C$3:$C$500,"=12",'Unos prihoda i primitaka'!$L$3:$L$500,"=65")</f>
        <v>0</v>
      </c>
      <c r="F12" s="120">
        <f>SUMIFS('Unos prihoda i primitaka'!$G$3:$G$500,'Unos prihoda i primitaka'!$C$3:$C$500,"=31",'Unos prihoda i primitaka'!$L$3:$L$500,"=65")</f>
        <v>0</v>
      </c>
      <c r="G12" s="120">
        <f>SUMIFS('Unos prihoda i primitaka'!$G$3:$G$500,'Unos prihoda i primitaka'!$C$3:$C$500,"=41",'Unos prihoda i primitaka'!$L$3:$L$500,"=65")</f>
        <v>0</v>
      </c>
      <c r="H12" s="120">
        <f>SUMIFS('Unos prihoda i primitaka'!$G$3:$G$500,'Unos prihoda i primitaka'!$C$3:$C$500,"=43",'Unos prihoda i primitaka'!$L$3:$L$500,"=65")</f>
        <v>144993.7036299688</v>
      </c>
      <c r="I12" s="120">
        <f>SUMIFS('Unos prihoda i primitaka'!$G$3:$G$500,'Unos prihoda i primitaka'!$C$3:$C$500,"=51",'Unos prihoda i primitaka'!$L$3:$L$500,"=65")</f>
        <v>0</v>
      </c>
      <c r="J12" s="120">
        <f>SUMIFS('Unos prihoda i primitaka'!$G$3:$G$500,'Unos prihoda i primitaka'!$C$3:$C$500,"=52",'Unos prihoda i primitaka'!$L$3:$L$500,"=65")</f>
        <v>0</v>
      </c>
      <c r="K12" s="120">
        <f>SUMIFS('Unos prihoda i primitaka'!$G$3:$G$500,'Unos prihoda i primitaka'!$C$3:$C$500,"=552",'Unos prihoda i primitaka'!$L$3:$L$500,"=65")</f>
        <v>0</v>
      </c>
      <c r="L12" s="120">
        <f>SUMIFS('Unos prihoda i primitaka'!$G$3:$G$500,'Unos prihoda i primitaka'!$C$3:$C$500,"=559",'Unos prihoda i primitaka'!$L$3:$L$500,"=65")</f>
        <v>0</v>
      </c>
      <c r="M12" s="120">
        <f>SUMIFS('Unos prihoda i primitaka'!$G$3:$G$500,'Unos prihoda i primitaka'!$C$3:$C$500,"=561",'Unos prihoda i primitaka'!$L$3:$L$500,"=65")</f>
        <v>0</v>
      </c>
      <c r="N12" s="120">
        <f>SUMIFS('Unos prihoda i primitaka'!$G$3:$G$500,'Unos prihoda i primitaka'!$C$3:$C$500,"=563",'Unos prihoda i primitaka'!$L$3:$L$500,"=65")</f>
        <v>0</v>
      </c>
      <c r="O12" s="120">
        <f>SUMIFS('Unos prihoda i primitaka'!$G$3:$G$500,'Unos prihoda i primitaka'!$C$3:$C$500,"=573",'Unos prihoda i primitaka'!$L$3:$L$500,"=65")</f>
        <v>0</v>
      </c>
      <c r="P12" s="120">
        <f>SUMIFS('Unos prihoda i primitaka'!$G$3:$G$500,'Unos prihoda i primitaka'!$C$3:$C$500,"=575",'Unos prihoda i primitaka'!$L$3:$L$500,"=65")</f>
        <v>0</v>
      </c>
      <c r="Q12" s="120">
        <f>SUMIFS('Unos prihoda i primitaka'!$G$3:$G$500,'Unos prihoda i primitaka'!$C$3:$C$500,"=576",'Unos prihoda i primitaka'!$L$3:$L$500,"=65")</f>
        <v>0</v>
      </c>
      <c r="R12" s="120">
        <f>SUMIFS('Unos prihoda i primitaka'!$G$3:$G$500,'Unos prihoda i primitaka'!$C$3:$C$500,"=581",'Unos prihoda i primitaka'!$L$3:$L$500,"=65")</f>
        <v>0</v>
      </c>
      <c r="S12" s="120">
        <f>SUMIFS('Unos prihoda i primitaka'!$G$3:$G$500,'Unos prihoda i primitaka'!$C$3:$C$500,"=61",'Unos prihoda i primitaka'!$L$3:$L$500,"=65")</f>
        <v>0</v>
      </c>
      <c r="T12" s="120">
        <f>SUMIFS('Unos prihoda i primitaka'!$G$3:$G$500,'Unos prihoda i primitaka'!$C$3:$C$500,"=63",'Unos prihoda i primitaka'!$L$3:$L$500,"=65")</f>
        <v>0</v>
      </c>
      <c r="U12" s="120">
        <f>SUMIFS('Unos prihoda i primitaka'!$G$3:$G$500,'Unos prihoda i primitaka'!$C$3:$C$500,"=71",'Unos prihoda i primitaka'!$L$3:$L$500,"=65")</f>
        <v>0</v>
      </c>
    </row>
    <row r="13" spans="1:21" s="38" customFormat="1" ht="25.5">
      <c r="A13" s="138" t="s">
        <v>5093</v>
      </c>
      <c r="B13" s="43" t="s">
        <v>5092</v>
      </c>
      <c r="C13" s="27">
        <f t="shared" si="1"/>
        <v>16689.274669852013</v>
      </c>
      <c r="D13" s="120">
        <f>SUMIFS('Unos prihoda i primitaka'!$G$3:$G$500,'Unos prihoda i primitaka'!$C$3:$C$500,"=11",'Unos prihoda i primitaka'!$L$3:$L$500,"=66")</f>
        <v>0</v>
      </c>
      <c r="E13" s="120">
        <f>SUMIFS('Unos prihoda i primitaka'!$G$3:$G$500,'Unos prihoda i primitaka'!$C$3:$C$500,"=12",'Unos prihoda i primitaka'!$L$3:$L$500,"=66")</f>
        <v>0</v>
      </c>
      <c r="F13" s="120">
        <f>SUMIFS('Unos prihoda i primitaka'!$G$3:$G$500,'Unos prihoda i primitaka'!$C$3:$C$500,"=31",'Unos prihoda i primitaka'!$L$3:$L$500,"=66")</f>
        <v>796.33685048775624</v>
      </c>
      <c r="G13" s="120">
        <f>SUMIFS('Unos prihoda i primitaka'!$G$3:$G$500,'Unos prihoda i primitaka'!$C$3:$C$500,"=41",'Unos prihoda i primitaka'!$L$3:$L$500,"=66")</f>
        <v>0</v>
      </c>
      <c r="H13" s="120">
        <f>SUMIFS('Unos prihoda i primitaka'!$G$3:$G$500,'Unos prihoda i primitaka'!$C$3:$C$500,"=43",'Unos prihoda i primitaka'!$L$3:$L$500,"=66")</f>
        <v>0</v>
      </c>
      <c r="I13" s="120">
        <f>SUMIFS('Unos prihoda i primitaka'!$G$3:$G$500,'Unos prihoda i primitaka'!$C$3:$C$500,"=51",'Unos prihoda i primitaka'!$L$3:$L$500,"=66")</f>
        <v>0</v>
      </c>
      <c r="J13" s="120">
        <f>SUMIFS('Unos prihoda i primitaka'!$G$3:$G$500,'Unos prihoda i primitaka'!$C$3:$C$500,"=52",'Unos prihoda i primitaka'!$L$3:$L$500,"=66")</f>
        <v>0</v>
      </c>
      <c r="K13" s="120">
        <f>SUMIFS('Unos prihoda i primitaka'!$G$3:$G$500,'Unos prihoda i primitaka'!$C$3:$C$500,"=552",'Unos prihoda i primitaka'!$L$3:$L$500,"=66")</f>
        <v>0</v>
      </c>
      <c r="L13" s="120">
        <f>SUMIFS('Unos prihoda i primitaka'!$G$3:$G$500,'Unos prihoda i primitaka'!$C$3:$C$500,"=559",'Unos prihoda i primitaka'!$L$3:$L$500,"=66")</f>
        <v>0</v>
      </c>
      <c r="M13" s="120">
        <f>SUMIFS('Unos prihoda i primitaka'!$G$3:$G$500,'Unos prihoda i primitaka'!$C$3:$C$500,"=561",'Unos prihoda i primitaka'!$L$3:$L$500,"=66")</f>
        <v>0</v>
      </c>
      <c r="N13" s="120">
        <f>SUMIFS('Unos prihoda i primitaka'!$G$3:$G$500,'Unos prihoda i primitaka'!$C$3:$C$500,"=563",'Unos prihoda i primitaka'!$L$3:$L$500,"=66")</f>
        <v>0</v>
      </c>
      <c r="O13" s="120">
        <f>SUMIFS('Unos prihoda i primitaka'!$G$3:$G$500,'Unos prihoda i primitaka'!$C$3:$C$500,"=573",'Unos prihoda i primitaka'!$L$3:$L$500,"=66")</f>
        <v>0</v>
      </c>
      <c r="P13" s="120">
        <f>SUMIFS('Unos prihoda i primitaka'!$G$3:$G$500,'Unos prihoda i primitaka'!$C$3:$C$500,"=575",'Unos prihoda i primitaka'!$L$3:$L$500,"=66")</f>
        <v>0</v>
      </c>
      <c r="Q13" s="120">
        <f>SUMIFS('Unos prihoda i primitaka'!$G$3:$G$500,'Unos prihoda i primitaka'!$C$3:$C$500,"=576",'Unos prihoda i primitaka'!$L$3:$L$500,"=66")</f>
        <v>0</v>
      </c>
      <c r="R13" s="120">
        <f>SUMIFS('Unos prihoda i primitaka'!$G$3:$G$500,'Unos prihoda i primitaka'!$C$3:$C$500,"=581",'Unos prihoda i primitaka'!$L$3:$L$500,"=66")</f>
        <v>0</v>
      </c>
      <c r="S13" s="120">
        <f>SUMIFS('Unos prihoda i primitaka'!$G$3:$G$500,'Unos prihoda i primitaka'!$C$3:$C$500,"=61",'Unos prihoda i primitaka'!$L$3:$L$500,"=66")</f>
        <v>15892.937819364257</v>
      </c>
      <c r="T13" s="120">
        <f>SUMIFS('Unos prihoda i primitaka'!$G$3:$G$500,'Unos prihoda i primitaka'!$C$3:$C$500,"=63",'Unos prihoda i primitaka'!$L$3:$L$500,"=66")</f>
        <v>0</v>
      </c>
      <c r="U13" s="120">
        <f>SUMIFS('Unos prihoda i primitaka'!$G$3:$G$500,'Unos prihoda i primitaka'!$C$3:$C$500,"=71",'Unos prihoda i primitaka'!$L$3:$L$500,"=66")</f>
        <v>0</v>
      </c>
    </row>
    <row r="14" spans="1:21" s="38" customFormat="1">
      <c r="A14" s="42" t="s">
        <v>5096</v>
      </c>
      <c r="B14" s="43" t="s">
        <v>5105</v>
      </c>
      <c r="C14" s="27">
        <f t="shared" si="1"/>
        <v>1506004.84</v>
      </c>
      <c r="D14" s="120">
        <f>SUMIFS('Unos prihoda i primitaka'!$G$3:$G$500,'Unos prihoda i primitaka'!$C$3:$C$500,"=11",'Unos prihoda i primitaka'!$L$3:$L$500,"=67")</f>
        <v>1506004.84</v>
      </c>
      <c r="E14" s="120">
        <f>SUMIFS('Unos prihoda i primitaka'!$G$3:$G$500,'Unos prihoda i primitaka'!$C$3:$C$500,"=12",'Unos prihoda i primitaka'!$L$3:$L$500,"=67")</f>
        <v>0</v>
      </c>
      <c r="F14" s="120">
        <f>SUMIFS('Unos prihoda i primitaka'!$G$3:$G$500,'Unos prihoda i primitaka'!$C$3:$C$500,"=31",'Unos prihoda i primitaka'!$L$3:$L$500,"=67")</f>
        <v>0</v>
      </c>
      <c r="G14" s="120">
        <f>SUMIFS('Unos prihoda i primitaka'!$G$3:$G$500,'Unos prihoda i primitaka'!$C$3:$C$500,"=41",'Unos prihoda i primitaka'!$L$3:$L$500,"=67")</f>
        <v>0</v>
      </c>
      <c r="H14" s="120">
        <f>SUMIFS('Unos prihoda i primitaka'!$G$3:$G$500,'Unos prihoda i primitaka'!$C$3:$C$500,"=43",'Unos prihoda i primitaka'!$L$3:$L$500,"=67")</f>
        <v>0</v>
      </c>
      <c r="I14" s="120">
        <f>SUMIFS('Unos prihoda i primitaka'!$G$3:$G$500,'Unos prihoda i primitaka'!$C$3:$C$500,"=51",'Unos prihoda i primitaka'!$L$3:$L$500,"=67")</f>
        <v>0</v>
      </c>
      <c r="J14" s="120">
        <f>SUMIFS('Unos prihoda i primitaka'!$G$3:$G$500,'Unos prihoda i primitaka'!$C$3:$C$500,"=52",'Unos prihoda i primitaka'!$L$3:$L$500,"=67")</f>
        <v>0</v>
      </c>
      <c r="K14" s="120">
        <f>SUMIFS('Unos prihoda i primitaka'!$G$3:$G$500,'Unos prihoda i primitaka'!$C$3:$C$500,"=552",'Unos prihoda i primitaka'!$L$3:$L$500,"=67")</f>
        <v>0</v>
      </c>
      <c r="L14" s="120">
        <f>SUMIFS('Unos prihoda i primitaka'!$G$3:$G$500,'Unos prihoda i primitaka'!$C$3:$C$500,"=559",'Unos prihoda i primitaka'!$L$3:$L$500,"=67")</f>
        <v>0</v>
      </c>
      <c r="M14" s="120">
        <f>SUMIFS('Unos prihoda i primitaka'!$G$3:$G$500,'Unos prihoda i primitaka'!$C$3:$C$500,"=561",'Unos prihoda i primitaka'!$L$3:$L$500,"=67")</f>
        <v>0</v>
      </c>
      <c r="N14" s="120">
        <f>SUMIFS('Unos prihoda i primitaka'!$G$3:$G$500,'Unos prihoda i primitaka'!$C$3:$C$500,"=563",'Unos prihoda i primitaka'!$L$3:$L$500,"=67")</f>
        <v>0</v>
      </c>
      <c r="O14" s="120">
        <f>SUMIFS('Unos prihoda i primitaka'!$G$3:$G$500,'Unos prihoda i primitaka'!$C$3:$C$500,"=573",'Unos prihoda i primitaka'!$L$3:$L$500,"=67")</f>
        <v>0</v>
      </c>
      <c r="P14" s="120">
        <f>SUMIFS('Unos prihoda i primitaka'!$G$3:$G$500,'Unos prihoda i primitaka'!$C$3:$C$500,"=575",'Unos prihoda i primitaka'!$L$3:$L$500,"=67")</f>
        <v>0</v>
      </c>
      <c r="Q14" s="120">
        <f>SUMIFS('Unos prihoda i primitaka'!$G$3:$G$500,'Unos prihoda i primitaka'!$C$3:$C$500,"=576",'Unos prihoda i primitaka'!$L$3:$L$500,"=67")</f>
        <v>0</v>
      </c>
      <c r="R14" s="120">
        <f>SUMIFS('Unos prihoda i primitaka'!$G$3:$G$500,'Unos prihoda i primitaka'!$C$3:$C$500,"=581",'Unos prihoda i primitaka'!$L$3:$L$500,"=67")</f>
        <v>0</v>
      </c>
      <c r="S14" s="120">
        <f>SUMIFS('Unos prihoda i primitaka'!$G$3:$G$500,'Unos prihoda i primitaka'!$C$3:$C$500,"=61",'Unos prihoda i primitaka'!$L$3:$L$500,"=67")</f>
        <v>0</v>
      </c>
      <c r="T14" s="120">
        <f>SUMIFS('Unos prihoda i primitaka'!$G$3:$G$500,'Unos prihoda i primitaka'!$C$3:$C$500,"=63",'Unos prihoda i primitaka'!$L$3:$L$500,"=67")</f>
        <v>0</v>
      </c>
      <c r="U14" s="120">
        <f>SUMIFS('Unos prihoda i primitaka'!$G$3:$G$500,'Unos prihoda i primitaka'!$C$3:$C$500,"=71",'Unos prihoda i primitaka'!$L$3:$L$500,"=67")</f>
        <v>0</v>
      </c>
    </row>
    <row r="15" spans="1:21" s="38" customFormat="1">
      <c r="A15" s="42" t="s">
        <v>5095</v>
      </c>
      <c r="B15" s="43" t="s">
        <v>5094</v>
      </c>
      <c r="C15" s="27">
        <f t="shared" si="1"/>
        <v>0</v>
      </c>
      <c r="D15" s="120">
        <f>SUMIFS('Unos prihoda i primitaka'!$G$3:$G$500,'Unos prihoda i primitaka'!$C$3:$C$500,"=11",'Unos prihoda i primitaka'!$L$3:$L$500,"=68")</f>
        <v>0</v>
      </c>
      <c r="E15" s="120">
        <f>SUMIFS('Unos prihoda i primitaka'!$G$3:$G$500,'Unos prihoda i primitaka'!$C$3:$C$500,"=12",'Unos prihoda i primitaka'!$L$3:$L$500,"=68")</f>
        <v>0</v>
      </c>
      <c r="F15" s="120">
        <f>SUMIFS('Unos prihoda i primitaka'!$G$3:$G$500,'Unos prihoda i primitaka'!$C$3:$C$500,"=31",'Unos prihoda i primitaka'!$L$3:$L$500,"=68")</f>
        <v>0</v>
      </c>
      <c r="G15" s="120">
        <f>SUMIFS('Unos prihoda i primitaka'!$G$3:$G$500,'Unos prihoda i primitaka'!$C$3:$C$500,"=41",'Unos prihoda i primitaka'!$L$3:$L$500,"=68")</f>
        <v>0</v>
      </c>
      <c r="H15" s="120">
        <f>SUMIFS('Unos prihoda i primitaka'!$G$3:$G$500,'Unos prihoda i primitaka'!$C$3:$C$500,"=43",'Unos prihoda i primitaka'!$L$3:$L$500,"=68")</f>
        <v>0</v>
      </c>
      <c r="I15" s="120">
        <f>SUMIFS('Unos prihoda i primitaka'!$G$3:$G$500,'Unos prihoda i primitaka'!$C$3:$C$500,"=51",'Unos prihoda i primitaka'!$L$3:$L$500,"=68")</f>
        <v>0</v>
      </c>
      <c r="J15" s="120">
        <f>SUMIFS('Unos prihoda i primitaka'!$G$3:$G$500,'Unos prihoda i primitaka'!$C$3:$C$500,"=52",'Unos prihoda i primitaka'!$L$3:$L$500,"=68")</f>
        <v>0</v>
      </c>
      <c r="K15" s="120">
        <f>SUMIFS('Unos prihoda i primitaka'!$G$3:$G$500,'Unos prihoda i primitaka'!$C$3:$C$500,"=552",'Unos prihoda i primitaka'!$L$3:$L$500,"=68")</f>
        <v>0</v>
      </c>
      <c r="L15" s="120">
        <f>SUMIFS('Unos prihoda i primitaka'!$G$3:$G$500,'Unos prihoda i primitaka'!$C$3:$C$500,"=559",'Unos prihoda i primitaka'!$L$3:$L$500,"=68")</f>
        <v>0</v>
      </c>
      <c r="M15" s="120">
        <f>SUMIFS('Unos prihoda i primitaka'!$G$3:$G$500,'Unos prihoda i primitaka'!$C$3:$C$500,"=561",'Unos prihoda i primitaka'!$L$3:$L$500,"=68")</f>
        <v>0</v>
      </c>
      <c r="N15" s="120">
        <f>SUMIFS('Unos prihoda i primitaka'!$G$3:$G$500,'Unos prihoda i primitaka'!$C$3:$C$500,"=563",'Unos prihoda i primitaka'!$L$3:$L$500,"=68")</f>
        <v>0</v>
      </c>
      <c r="O15" s="120">
        <f>SUMIFS('Unos prihoda i primitaka'!$G$3:$G$500,'Unos prihoda i primitaka'!$C$3:$C$500,"=573",'Unos prihoda i primitaka'!$L$3:$L$500,"=68")</f>
        <v>0</v>
      </c>
      <c r="P15" s="120">
        <f>SUMIFS('Unos prihoda i primitaka'!$G$3:$G$500,'Unos prihoda i primitaka'!$C$3:$C$500,"=575",'Unos prihoda i primitaka'!$L$3:$L$500,"=68")</f>
        <v>0</v>
      </c>
      <c r="Q15" s="120">
        <f>SUMIFS('Unos prihoda i primitaka'!$G$3:$G$500,'Unos prihoda i primitaka'!$C$3:$C$500,"=576",'Unos prihoda i primitaka'!$L$3:$L$500,"=68")</f>
        <v>0</v>
      </c>
      <c r="R15" s="120">
        <f>SUMIFS('Unos prihoda i primitaka'!$G$3:$G$500,'Unos prihoda i primitaka'!$C$3:$C$500,"=581",'Unos prihoda i primitaka'!$L$3:$L$500,"=68")</f>
        <v>0</v>
      </c>
      <c r="S15" s="120">
        <f>SUMIFS('Unos prihoda i primitaka'!$G$3:$G$500,'Unos prihoda i primitaka'!$C$3:$C$500,"=61",'Unos prihoda i primitaka'!$L$3:$L$500,"=68")</f>
        <v>0</v>
      </c>
      <c r="T15" s="120">
        <f>SUMIFS('Unos prihoda i primitaka'!$G$3:$G$500,'Unos prihoda i primitaka'!$C$3:$C$500,"=63",'Unos prihoda i primitaka'!$L$3:$L$500,"=68")</f>
        <v>0</v>
      </c>
      <c r="U15" s="120">
        <f>SUMIFS('Unos prihoda i primitaka'!$G$3:$G$500,'Unos prihoda i primitaka'!$C$3:$C$500,"=71",'Unos prihoda i primitaka'!$L$3:$L$500,"=68")</f>
        <v>0</v>
      </c>
    </row>
    <row r="16" spans="1:21" s="38" customFormat="1">
      <c r="A16" s="45" t="s">
        <v>247</v>
      </c>
      <c r="B16" s="46" t="s">
        <v>248</v>
      </c>
      <c r="C16" s="27">
        <f>SUM(D16:U16)</f>
        <v>1873101.8647534675</v>
      </c>
      <c r="D16" s="3">
        <f t="shared" ref="D16:U16" si="2">SUM(D9:D15)</f>
        <v>1506004.84</v>
      </c>
      <c r="E16" s="3">
        <f t="shared" si="2"/>
        <v>0</v>
      </c>
      <c r="F16" s="3">
        <f t="shared" si="2"/>
        <v>796.33685048775624</v>
      </c>
      <c r="G16" s="3">
        <f t="shared" si="2"/>
        <v>0</v>
      </c>
      <c r="H16" s="3">
        <f t="shared" si="2"/>
        <v>144993.7036299688</v>
      </c>
      <c r="I16" s="3">
        <f t="shared" si="2"/>
        <v>0</v>
      </c>
      <c r="J16" s="3">
        <f t="shared" si="2"/>
        <v>205414.04645364656</v>
      </c>
      <c r="K16" s="3">
        <f t="shared" si="2"/>
        <v>0</v>
      </c>
      <c r="L16" s="3">
        <f t="shared" si="2"/>
        <v>0</v>
      </c>
      <c r="M16" s="3">
        <f t="shared" si="2"/>
        <v>0</v>
      </c>
      <c r="N16" s="3">
        <f t="shared" si="2"/>
        <v>0</v>
      </c>
      <c r="O16" s="3">
        <f t="shared" si="2"/>
        <v>0</v>
      </c>
      <c r="P16" s="3">
        <f t="shared" si="2"/>
        <v>0</v>
      </c>
      <c r="Q16" s="3">
        <f t="shared" si="2"/>
        <v>0</v>
      </c>
      <c r="R16" s="3">
        <f t="shared" si="2"/>
        <v>0</v>
      </c>
      <c r="S16" s="3">
        <f t="shared" si="2"/>
        <v>15892.937819364257</v>
      </c>
      <c r="T16" s="3">
        <f t="shared" si="2"/>
        <v>0</v>
      </c>
      <c r="U16" s="3">
        <f t="shared" si="2"/>
        <v>0</v>
      </c>
    </row>
    <row r="17" spans="1:21" s="38" customFormat="1">
      <c r="A17" s="42" t="s">
        <v>5097</v>
      </c>
      <c r="B17" s="47" t="s">
        <v>5098</v>
      </c>
      <c r="C17" s="27">
        <f t="shared" si="1"/>
        <v>0</v>
      </c>
      <c r="D17" s="120">
        <f>SUMIFS('Unos prihoda i primitaka'!$G$3:$G$500,'Unos prihoda i primitaka'!$C$3:$C$500,"=11",'Unos prihoda i primitaka'!$L$3:$L$500,"=71")</f>
        <v>0</v>
      </c>
      <c r="E17" s="120">
        <f>SUMIFS('Unos prihoda i primitaka'!$G$3:$G$500,'Unos prihoda i primitaka'!$C$3:$C$500,"=12",'Unos prihoda i primitaka'!$L$3:$L$500,"=71")</f>
        <v>0</v>
      </c>
      <c r="F17" s="120">
        <f>SUMIFS('Unos prihoda i primitaka'!$G$3:$G$500,'Unos prihoda i primitaka'!$C$3:$C$500,"=31",'Unos prihoda i primitaka'!$L$3:$L$500,"=71")</f>
        <v>0</v>
      </c>
      <c r="G17" s="120">
        <f>SUMIFS('Unos prihoda i primitaka'!$G$3:$G$500,'Unos prihoda i primitaka'!$C$3:$C$500,"=41",'Unos prihoda i primitaka'!$L$3:$L$500,"=71")</f>
        <v>0</v>
      </c>
      <c r="H17" s="120">
        <f>SUMIFS('Unos prihoda i primitaka'!$G$3:$G$500,'Unos prihoda i primitaka'!$C$3:$C$500,"=43",'Unos prihoda i primitaka'!$L$3:$L$500,"=71")</f>
        <v>0</v>
      </c>
      <c r="I17" s="120">
        <f>SUMIFS('Unos prihoda i primitaka'!$G$3:$G$500,'Unos prihoda i primitaka'!$C$3:$C$500,"=51",'Unos prihoda i primitaka'!$L$3:$L$500,"=71")</f>
        <v>0</v>
      </c>
      <c r="J17" s="120">
        <f>SUMIFS('Unos prihoda i primitaka'!$G$3:$G$500,'Unos prihoda i primitaka'!$C$3:$C$500,"=52",'Unos prihoda i primitaka'!$L$3:$L$500,"=71")</f>
        <v>0</v>
      </c>
      <c r="K17" s="120">
        <f>SUMIFS('Unos prihoda i primitaka'!$G$3:$G$500,'Unos prihoda i primitaka'!$C$3:$C$500,"=552",'Unos prihoda i primitaka'!$L$3:$L$500,"=71")</f>
        <v>0</v>
      </c>
      <c r="L17" s="120">
        <f>SUMIFS('Unos prihoda i primitaka'!$G$3:$G$500,'Unos prihoda i primitaka'!$C$3:$C$500,"=559",'Unos prihoda i primitaka'!$L$3:$L$500,"=71")</f>
        <v>0</v>
      </c>
      <c r="M17" s="120">
        <f>SUMIFS('Unos prihoda i primitaka'!$G$3:$G$500,'Unos prihoda i primitaka'!$C$3:$C$500,"=561",'Unos prihoda i primitaka'!$L$3:$L$500,"=71")</f>
        <v>0</v>
      </c>
      <c r="N17" s="120">
        <f>SUMIFS('Unos prihoda i primitaka'!$G$3:$G$500,'Unos prihoda i primitaka'!$C$3:$C$500,"=563",'Unos prihoda i primitaka'!$L$3:$L$500,"=71")</f>
        <v>0</v>
      </c>
      <c r="O17" s="120">
        <f>SUMIFS('Unos prihoda i primitaka'!$G$3:$G$500,'Unos prihoda i primitaka'!$C$3:$C$500,"=573",'Unos prihoda i primitaka'!$L$3:$L$500,"=71")</f>
        <v>0</v>
      </c>
      <c r="P17" s="120">
        <f>SUMIFS('Unos prihoda i primitaka'!$G$3:$G$500,'Unos prihoda i primitaka'!$C$3:$C$500,"=575",'Unos prihoda i primitaka'!$L$3:$L$500,"=71")</f>
        <v>0</v>
      </c>
      <c r="Q17" s="120">
        <f>SUMIFS('Unos prihoda i primitaka'!$G$3:$G$500,'Unos prihoda i primitaka'!$C$3:$C$500,"=576",'Unos prihoda i primitaka'!$L$3:$L$500,"=71")</f>
        <v>0</v>
      </c>
      <c r="R17" s="120">
        <f>SUMIFS('Unos prihoda i primitaka'!$G$3:$G$500,'Unos prihoda i primitaka'!$C$3:$C$500,"=581",'Unos prihoda i primitaka'!$L$3:$L$500,"=71")</f>
        <v>0</v>
      </c>
      <c r="S17" s="120">
        <f>SUMIFS('Unos prihoda i primitaka'!$G$3:$G$500,'Unos prihoda i primitaka'!$C$3:$C$500,"=61",'Unos prihoda i primitaka'!$L$3:$L$500,"=71")</f>
        <v>0</v>
      </c>
      <c r="T17" s="120">
        <f>SUMIFS('Unos prihoda i primitaka'!$G$3:$G$500,'Unos prihoda i primitaka'!$C$3:$C$500,"=63",'Unos prihoda i primitaka'!$L$3:$L$500,"=71")</f>
        <v>0</v>
      </c>
      <c r="U17" s="120">
        <f>SUMIFS('Unos prihoda i primitaka'!$G$3:$G$500,'Unos prihoda i primitaka'!$C$3:$C$500,"=71",'Unos prihoda i primitaka'!$L$3:$L$500,"=71")</f>
        <v>0</v>
      </c>
    </row>
    <row r="18" spans="1:21" s="38" customFormat="1">
      <c r="A18" s="42" t="s">
        <v>5099</v>
      </c>
      <c r="B18" s="47" t="s">
        <v>5100</v>
      </c>
      <c r="C18" s="27">
        <f t="shared" si="1"/>
        <v>0</v>
      </c>
      <c r="D18" s="120">
        <f>SUMIFS('Unos prihoda i primitaka'!$G$3:$G$500,'Unos prihoda i primitaka'!$C$3:$C$500,"=11",'Unos prihoda i primitaka'!$L$3:$L$500,"=72")</f>
        <v>0</v>
      </c>
      <c r="E18" s="120">
        <f>SUMIFS('Unos prihoda i primitaka'!$G$3:$G$500,'Unos prihoda i primitaka'!$C$3:$C$500,"=12",'Unos prihoda i primitaka'!$L$3:$L$500,"=72")</f>
        <v>0</v>
      </c>
      <c r="F18" s="120">
        <f>SUMIFS('Unos prihoda i primitaka'!$G$3:$G$500,'Unos prihoda i primitaka'!$C$3:$C$500,"=31",'Unos prihoda i primitaka'!$L$3:$L$500,"=72")</f>
        <v>0</v>
      </c>
      <c r="G18" s="120">
        <f>SUMIFS('Unos prihoda i primitaka'!$G$3:$G$500,'Unos prihoda i primitaka'!$C$3:$C$500,"=41",'Unos prihoda i primitaka'!$L$3:$L$500,"=72")</f>
        <v>0</v>
      </c>
      <c r="H18" s="120">
        <f>SUMIFS('Unos prihoda i primitaka'!$G$3:$G$500,'Unos prihoda i primitaka'!$C$3:$C$500,"=43",'Unos prihoda i primitaka'!$L$3:$L$500,"=72")</f>
        <v>0</v>
      </c>
      <c r="I18" s="120">
        <f>SUMIFS('Unos prihoda i primitaka'!$G$3:$G$500,'Unos prihoda i primitaka'!$C$3:$C$500,"=51",'Unos prihoda i primitaka'!$L$3:$L$500,"=72")</f>
        <v>0</v>
      </c>
      <c r="J18" s="120">
        <f>SUMIFS('Unos prihoda i primitaka'!$G$3:$G$500,'Unos prihoda i primitaka'!$C$3:$C$500,"=52",'Unos prihoda i primitaka'!$L$3:$L$500,"=72")</f>
        <v>0</v>
      </c>
      <c r="K18" s="120">
        <f>SUMIFS('Unos prihoda i primitaka'!$G$3:$G$500,'Unos prihoda i primitaka'!$C$3:$C$500,"=552",'Unos prihoda i primitaka'!$L$3:$L$500,"=72")</f>
        <v>0</v>
      </c>
      <c r="L18" s="120">
        <f>SUMIFS('Unos prihoda i primitaka'!$G$3:$G$500,'Unos prihoda i primitaka'!$C$3:$C$500,"=559",'Unos prihoda i primitaka'!$L$3:$L$500,"=72")</f>
        <v>0</v>
      </c>
      <c r="M18" s="120">
        <f>SUMIFS('Unos prihoda i primitaka'!$G$3:$G$500,'Unos prihoda i primitaka'!$C$3:$C$500,"=561",'Unos prihoda i primitaka'!$L$3:$L$500,"=72")</f>
        <v>0</v>
      </c>
      <c r="N18" s="120">
        <f>SUMIFS('Unos prihoda i primitaka'!$G$3:$G$500,'Unos prihoda i primitaka'!$C$3:$C$500,"=563",'Unos prihoda i primitaka'!$L$3:$L$500,"=72")</f>
        <v>0</v>
      </c>
      <c r="O18" s="120">
        <f>SUMIFS('Unos prihoda i primitaka'!$G$3:$G$500,'Unos prihoda i primitaka'!$C$3:$C$500,"=573",'Unos prihoda i primitaka'!$L$3:$L$500,"=72")</f>
        <v>0</v>
      </c>
      <c r="P18" s="120">
        <f>SUMIFS('Unos prihoda i primitaka'!$G$3:$G$500,'Unos prihoda i primitaka'!$C$3:$C$500,"=575",'Unos prihoda i primitaka'!$L$3:$L$500,"=72")</f>
        <v>0</v>
      </c>
      <c r="Q18" s="120">
        <f>SUMIFS('Unos prihoda i primitaka'!$G$3:$G$500,'Unos prihoda i primitaka'!$C$3:$C$500,"=576",'Unos prihoda i primitaka'!$L$3:$L$500,"=72")</f>
        <v>0</v>
      </c>
      <c r="R18" s="120">
        <f>SUMIFS('Unos prihoda i primitaka'!$G$3:$G$500,'Unos prihoda i primitaka'!$C$3:$C$500,"=581",'Unos prihoda i primitaka'!$L$3:$L$500,"=72")</f>
        <v>0</v>
      </c>
      <c r="S18" s="120">
        <f>SUMIFS('Unos prihoda i primitaka'!$G$3:$G$500,'Unos prihoda i primitaka'!$C$3:$C$500,"=61",'Unos prihoda i primitaka'!$L$3:$L$500,"=72")</f>
        <v>0</v>
      </c>
      <c r="T18" s="120">
        <f>SUMIFS('Unos prihoda i primitaka'!$G$3:$G$500,'Unos prihoda i primitaka'!$C$3:$C$500,"=63",'Unos prihoda i primitaka'!$L$3:$L$500,"=72")</f>
        <v>0</v>
      </c>
      <c r="U18" s="120">
        <f>SUMIFS('Unos prihoda i primitaka'!$G$3:$G$500,'Unos prihoda i primitaka'!$C$3:$C$500,"=71",'Unos prihoda i primitaka'!$L$3:$L$500,"=72")</f>
        <v>0</v>
      </c>
    </row>
    <row r="19" spans="1:21" s="38" customFormat="1">
      <c r="A19" s="45" t="s">
        <v>249</v>
      </c>
      <c r="B19" s="46" t="s">
        <v>248</v>
      </c>
      <c r="C19" s="27">
        <f>SUM(D19:U19)</f>
        <v>0</v>
      </c>
      <c r="D19" s="3">
        <f>SUM(D17:D18)</f>
        <v>0</v>
      </c>
      <c r="E19" s="3">
        <f t="shared" ref="E19:U19" si="3">SUM(E17:E18)</f>
        <v>0</v>
      </c>
      <c r="F19" s="3">
        <f t="shared" si="3"/>
        <v>0</v>
      </c>
      <c r="G19" s="3">
        <f t="shared" si="3"/>
        <v>0</v>
      </c>
      <c r="H19" s="3">
        <f t="shared" si="3"/>
        <v>0</v>
      </c>
      <c r="I19" s="3">
        <f t="shared" si="3"/>
        <v>0</v>
      </c>
      <c r="J19" s="3">
        <f t="shared" si="3"/>
        <v>0</v>
      </c>
      <c r="K19" s="3">
        <f t="shared" si="3"/>
        <v>0</v>
      </c>
      <c r="L19" s="3">
        <f t="shared" si="3"/>
        <v>0</v>
      </c>
      <c r="M19" s="3">
        <f t="shared" si="3"/>
        <v>0</v>
      </c>
      <c r="N19" s="3">
        <f t="shared" si="3"/>
        <v>0</v>
      </c>
      <c r="O19" s="3">
        <f t="shared" si="3"/>
        <v>0</v>
      </c>
      <c r="P19" s="3">
        <f t="shared" si="3"/>
        <v>0</v>
      </c>
      <c r="Q19" s="3">
        <f t="shared" si="3"/>
        <v>0</v>
      </c>
      <c r="R19" s="3">
        <f t="shared" si="3"/>
        <v>0</v>
      </c>
      <c r="S19" s="3">
        <f t="shared" si="3"/>
        <v>0</v>
      </c>
      <c r="T19" s="3">
        <f t="shared" si="3"/>
        <v>0</v>
      </c>
      <c r="U19" s="3">
        <f t="shared" si="3"/>
        <v>0</v>
      </c>
    </row>
    <row r="20" spans="1:21">
      <c r="A20" s="20"/>
      <c r="B20" s="20"/>
      <c r="C20" s="20"/>
      <c r="D20" s="20"/>
      <c r="E20" s="20"/>
      <c r="F20" s="20"/>
      <c r="G20" s="2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39"/>
    </row>
    <row r="21" spans="1:21" s="38" customFormat="1" ht="89.25">
      <c r="A21" s="40" t="s">
        <v>237</v>
      </c>
      <c r="B21" s="40" t="s">
        <v>238</v>
      </c>
      <c r="C21" s="183" t="s">
        <v>239</v>
      </c>
      <c r="D21" s="140" t="s">
        <v>259</v>
      </c>
      <c r="E21" s="140" t="s">
        <v>251</v>
      </c>
      <c r="F21" s="141" t="s">
        <v>16</v>
      </c>
      <c r="G21" s="141" t="s">
        <v>1229</v>
      </c>
      <c r="H21" s="141" t="s">
        <v>17</v>
      </c>
      <c r="I21" s="141" t="s">
        <v>240</v>
      </c>
      <c r="J21" s="141" t="s">
        <v>241</v>
      </c>
      <c r="K21" s="141" t="s">
        <v>1230</v>
      </c>
      <c r="L21" s="141" t="s">
        <v>242</v>
      </c>
      <c r="M21" s="141" t="s">
        <v>243</v>
      </c>
      <c r="N21" s="141" t="s">
        <v>244</v>
      </c>
      <c r="O21" s="141" t="s">
        <v>1231</v>
      </c>
      <c r="P21" s="141" t="s">
        <v>1232</v>
      </c>
      <c r="Q21" s="141" t="s">
        <v>1707</v>
      </c>
      <c r="R21" s="41" t="s">
        <v>3017</v>
      </c>
      <c r="S21" s="141" t="s">
        <v>245</v>
      </c>
      <c r="T21" s="41" t="s">
        <v>246</v>
      </c>
      <c r="U21" s="41" t="s">
        <v>250</v>
      </c>
    </row>
    <row r="22" spans="1:21" s="38" customFormat="1" ht="20.25" customHeight="1">
      <c r="A22" s="337">
        <v>2023</v>
      </c>
      <c r="B22" s="337" t="s">
        <v>5269</v>
      </c>
      <c r="C22" s="60">
        <f>SUM(D22:U22)</f>
        <v>3450550.9282201296</v>
      </c>
      <c r="D22" s="60">
        <f t="shared" ref="D22:U22" si="4">+D33+D30</f>
        <v>1497285.9282201293</v>
      </c>
      <c r="E22" s="60">
        <f t="shared" si="4"/>
        <v>0</v>
      </c>
      <c r="F22" s="60">
        <f t="shared" si="4"/>
        <v>20000</v>
      </c>
      <c r="G22" s="60">
        <f t="shared" si="4"/>
        <v>0</v>
      </c>
      <c r="H22" s="60">
        <f t="shared" si="4"/>
        <v>266700</v>
      </c>
      <c r="I22" s="60">
        <f t="shared" si="4"/>
        <v>0</v>
      </c>
      <c r="J22" s="60">
        <f t="shared" si="4"/>
        <v>66565</v>
      </c>
      <c r="K22" s="60">
        <f t="shared" si="4"/>
        <v>0</v>
      </c>
      <c r="L22" s="60">
        <f t="shared" si="4"/>
        <v>0</v>
      </c>
      <c r="M22" s="60">
        <f t="shared" si="4"/>
        <v>0</v>
      </c>
      <c r="N22" s="60">
        <f t="shared" si="4"/>
        <v>1600000</v>
      </c>
      <c r="O22" s="60">
        <f t="shared" si="4"/>
        <v>0</v>
      </c>
      <c r="P22" s="60">
        <f t="shared" si="4"/>
        <v>0</v>
      </c>
      <c r="Q22" s="60">
        <f t="shared" si="4"/>
        <v>0</v>
      </c>
      <c r="R22" s="60">
        <f t="shared" si="4"/>
        <v>0</v>
      </c>
      <c r="S22" s="60">
        <f t="shared" si="4"/>
        <v>0</v>
      </c>
      <c r="T22" s="60">
        <f t="shared" si="4"/>
        <v>0</v>
      </c>
      <c r="U22" s="60">
        <f t="shared" si="4"/>
        <v>0</v>
      </c>
    </row>
    <row r="23" spans="1:21" s="38" customFormat="1">
      <c r="A23" s="44" t="s">
        <v>5085</v>
      </c>
      <c r="B23" s="57" t="s">
        <v>5084</v>
      </c>
      <c r="C23" s="27">
        <f t="shared" ref="C23:C33" si="5">SUM(D23:U23)</f>
        <v>0</v>
      </c>
      <c r="D23" s="120">
        <f>SUMIFS('Unos prihoda i primitaka'!$H$3:$H$500,'Unos prihoda i primitaka'!$C$3:$C$500,"=11",'Unos prihoda i primitaka'!$L$3:$L$500,"=61")</f>
        <v>0</v>
      </c>
      <c r="E23" s="120">
        <f>SUMIFS('Unos prihoda i primitaka'!$H$3:$H$500,'Unos prihoda i primitaka'!$C$3:$C$500,"=12",'Unos prihoda i primitaka'!$L$3:$L$500,"=61")</f>
        <v>0</v>
      </c>
      <c r="F23" s="120">
        <f>SUMIFS('Unos prihoda i primitaka'!$H$3:$H$500,'Unos prihoda i primitaka'!$C$3:$C$500,"=31",'Unos prihoda i primitaka'!$L$3:$L$500,"=61")</f>
        <v>0</v>
      </c>
      <c r="G23" s="120">
        <f>SUMIFS('Unos prihoda i primitaka'!$H$3:$H$500,'Unos prihoda i primitaka'!$C$3:$C$500,"=41",'Unos prihoda i primitaka'!$L$3:$L$500,"=61")</f>
        <v>0</v>
      </c>
      <c r="H23" s="120">
        <f>SUMIFS('Unos prihoda i primitaka'!$H$3:$H$500,'Unos prihoda i primitaka'!$C$3:$C$500,"=43",'Unos prihoda i primitaka'!$L$3:$L$500,"=61")</f>
        <v>0</v>
      </c>
      <c r="I23" s="120">
        <f>SUMIFS('Unos prihoda i primitaka'!$H$3:$H$500,'Unos prihoda i primitaka'!$C$3:$C$500,"=51",'Unos prihoda i primitaka'!$L$3:$L$500,"=61")</f>
        <v>0</v>
      </c>
      <c r="J23" s="120">
        <f>SUMIFS('Unos prihoda i primitaka'!$H$3:$H$500,'Unos prihoda i primitaka'!$C$3:$C$500,"=52",'Unos prihoda i primitaka'!$L$3:$L$500,"=61")</f>
        <v>0</v>
      </c>
      <c r="K23" s="120">
        <f>SUMIFS('Unos prihoda i primitaka'!$H$3:$H$500,'Unos prihoda i primitaka'!$C$3:$C$500,"=552",'Unos prihoda i primitaka'!$L$3:$L$500,"=61")</f>
        <v>0</v>
      </c>
      <c r="L23" s="120">
        <f>SUMIFS('Unos prihoda i primitaka'!$H$3:$H$500,'Unos prihoda i primitaka'!$C$3:$C$500,"=559",'Unos prihoda i primitaka'!$L$3:$L$500,"=61")</f>
        <v>0</v>
      </c>
      <c r="M23" s="120">
        <f>SUMIFS('Unos prihoda i primitaka'!$H$3:$H$500,'Unos prihoda i primitaka'!$C$3:$C$500,"=561",'Unos prihoda i primitaka'!$L$3:$L$500,"=61")</f>
        <v>0</v>
      </c>
      <c r="N23" s="120">
        <f>SUMIFS('Unos prihoda i primitaka'!$H$3:$H$500,'Unos prihoda i primitaka'!$C$3:$C$500,"=563",'Unos prihoda i primitaka'!$L$3:$L$500,"=61")</f>
        <v>0</v>
      </c>
      <c r="O23" s="120">
        <f>SUMIFS('Unos prihoda i primitaka'!$H$3:$H$500,'Unos prihoda i primitaka'!$C$3:$C$500,"=573",'Unos prihoda i primitaka'!$L$3:$L$500,"=61")</f>
        <v>0</v>
      </c>
      <c r="P23" s="120">
        <f>SUMIFS('Unos prihoda i primitaka'!$H$3:$H$500,'Unos prihoda i primitaka'!$C$3:$C$500,"=575",'Unos prihoda i primitaka'!$L$3:$L$500,"=61")</f>
        <v>0</v>
      </c>
      <c r="Q23" s="120">
        <f>SUMIFS('Unos prihoda i primitaka'!$H$3:$H$500,'Unos prihoda i primitaka'!$C$3:$C$500,"=576",'Unos prihoda i primitaka'!$L$3:$L$500,"=61")</f>
        <v>0</v>
      </c>
      <c r="R23" s="120">
        <f>SUMIFS('Unos prihoda i primitaka'!$H$3:$H$500,'Unos prihoda i primitaka'!$C$3:$C$500,"=581",'Unos prihoda i primitaka'!$L$3:$L$500,"=61")</f>
        <v>0</v>
      </c>
      <c r="S23" s="120">
        <f>SUMIFS('Unos prihoda i primitaka'!$H$3:$H$500,'Unos prihoda i primitaka'!$C$3:$C$500,"=61",'Unos prihoda i primitaka'!$L$3:$L$500,"=61")</f>
        <v>0</v>
      </c>
      <c r="T23" s="120">
        <f>SUMIFS('Unos prihoda i primitaka'!$H$3:$H$500,'Unos prihoda i primitaka'!$C$3:$C$500,"=63",'Unos prihoda i primitaka'!$L$3:$L$500,"=61")</f>
        <v>0</v>
      </c>
      <c r="U23" s="120">
        <f>SUMIFS('Unos prihoda i primitaka'!$H$3:$H$500,'Unos prihoda i primitaka'!$C$3:$C$500,"=71",'Unos prihoda i primitaka'!$L$3:$L$500,"=61")</f>
        <v>0</v>
      </c>
    </row>
    <row r="24" spans="1:21" s="38" customFormat="1" ht="25.5">
      <c r="A24" s="44" t="s">
        <v>5087</v>
      </c>
      <c r="B24" s="57" t="s">
        <v>5086</v>
      </c>
      <c r="C24" s="27">
        <f t="shared" si="5"/>
        <v>1666565</v>
      </c>
      <c r="D24" s="120">
        <f>SUMIFS('Unos prihoda i primitaka'!$H$3:$H$500,'Unos prihoda i primitaka'!$C$3:$C$500,"=11",'Unos prihoda i primitaka'!$L$3:$L$500,"=63")</f>
        <v>0</v>
      </c>
      <c r="E24" s="120">
        <f>SUMIFS('Unos prihoda i primitaka'!$H$3:$H$500,'Unos prihoda i primitaka'!$C$3:$C$500,"=12",'Unos prihoda i primitaka'!$L$3:$L$500,"=63")</f>
        <v>0</v>
      </c>
      <c r="F24" s="120">
        <f>SUMIFS('Unos prihoda i primitaka'!$H$3:$H$500,'Unos prihoda i primitaka'!$C$3:$C$500,"=31",'Unos prihoda i primitaka'!$L$3:$L$500,"=63")</f>
        <v>0</v>
      </c>
      <c r="G24" s="120">
        <f>SUMIFS('Unos prihoda i primitaka'!$H$3:$H$500,'Unos prihoda i primitaka'!$C$3:$C$500,"=41",'Unos prihoda i primitaka'!$L$3:$L$500,"=63")</f>
        <v>0</v>
      </c>
      <c r="H24" s="120">
        <f>SUMIFS('Unos prihoda i primitaka'!$H$3:$H$500,'Unos prihoda i primitaka'!$C$3:$C$500,"=43",'Unos prihoda i primitaka'!$L$3:$L$500,"=63")</f>
        <v>0</v>
      </c>
      <c r="I24" s="120">
        <f>SUMIFS('Unos prihoda i primitaka'!$H$3:$H$500,'Unos prihoda i primitaka'!$C$3:$C$500,"=51",'Unos prihoda i primitaka'!$L$3:$L$500,"=63")</f>
        <v>0</v>
      </c>
      <c r="J24" s="120">
        <f>SUMIFS('Unos prihoda i primitaka'!$H$3:$H$500,'Unos prihoda i primitaka'!$C$3:$C$500,"=52",'Unos prihoda i primitaka'!$L$3:$L$500,"=63")</f>
        <v>66565</v>
      </c>
      <c r="K24" s="120">
        <f>SUMIFS('Unos prihoda i primitaka'!$H$3:$H$500,'Unos prihoda i primitaka'!$C$3:$C$500,"=552",'Unos prihoda i primitaka'!$L$3:$L$500,"=63")</f>
        <v>0</v>
      </c>
      <c r="L24" s="120">
        <f>SUMIFS('Unos prihoda i primitaka'!$H$3:$H$500,'Unos prihoda i primitaka'!$C$3:$C$500,"=559",'Unos prihoda i primitaka'!$L$3:$L$500,"=63")</f>
        <v>0</v>
      </c>
      <c r="M24" s="120">
        <f>SUMIFS('Unos prihoda i primitaka'!$H$3:$H$500,'Unos prihoda i primitaka'!$C$3:$C$500,"=561",'Unos prihoda i primitaka'!$L$3:$L$500,"=63")</f>
        <v>0</v>
      </c>
      <c r="N24" s="120">
        <f>SUMIFS('Unos prihoda i primitaka'!$H$3:$H$500,'Unos prihoda i primitaka'!$C$3:$C$500,"=563",'Unos prihoda i primitaka'!$L$3:$L$500,"=63")</f>
        <v>1600000</v>
      </c>
      <c r="O24" s="120">
        <f>SUMIFS('Unos prihoda i primitaka'!$H$3:$H$500,'Unos prihoda i primitaka'!$C$3:$C$500,"=573",'Unos prihoda i primitaka'!$L$3:$L$500,"=63")</f>
        <v>0</v>
      </c>
      <c r="P24" s="120">
        <f>SUMIFS('Unos prihoda i primitaka'!$H$3:$H$500,'Unos prihoda i primitaka'!$C$3:$C$500,"=575",'Unos prihoda i primitaka'!$L$3:$L$500,"=63")</f>
        <v>0</v>
      </c>
      <c r="Q24" s="120">
        <f>SUMIFS('Unos prihoda i primitaka'!$H$3:$H$500,'Unos prihoda i primitaka'!$C$3:$C$500,"=576",'Unos prihoda i primitaka'!$L$3:$L$500,"=63")</f>
        <v>0</v>
      </c>
      <c r="R24" s="120">
        <f>SUMIFS('Unos prihoda i primitaka'!$H$3:$H$500,'Unos prihoda i primitaka'!$C$3:$C$500,"=581",'Unos prihoda i primitaka'!$L$3:$L$500,"=63")</f>
        <v>0</v>
      </c>
      <c r="S24" s="120">
        <f>SUMIFS('Unos prihoda i primitaka'!$H$3:$H$500,'Unos prihoda i primitaka'!$C$3:$C$500,"=61",'Unos prihoda i primitaka'!$L$3:$L$500,"=63")</f>
        <v>0</v>
      </c>
      <c r="T24" s="120">
        <f>SUMIFS('Unos prihoda i primitaka'!$H$3:$H$500,'Unos prihoda i primitaka'!$C$3:$C$500,"=63",'Unos prihoda i primitaka'!$L$3:$L$500,"=63")</f>
        <v>0</v>
      </c>
      <c r="U24" s="120">
        <f>SUMIFS('Unos prihoda i primitaka'!$H$3:$H$500,'Unos prihoda i primitaka'!$C$3:$C$500,"=71",'Unos prihoda i primitaka'!$L$3:$L$500,"=63")</f>
        <v>0</v>
      </c>
    </row>
    <row r="25" spans="1:21" s="38" customFormat="1">
      <c r="A25" s="42" t="s">
        <v>5089</v>
      </c>
      <c r="B25" s="43" t="s">
        <v>5088</v>
      </c>
      <c r="C25" s="27">
        <f t="shared" si="5"/>
        <v>0</v>
      </c>
      <c r="D25" s="120">
        <f>SUMIFS('Unos prihoda i primitaka'!$H$3:$H$500,'Unos prihoda i primitaka'!$C$3:$C$500,"=11",'Unos prihoda i primitaka'!$L$3:$L$500,"=64")</f>
        <v>0</v>
      </c>
      <c r="E25" s="120">
        <f>SUMIFS('Unos prihoda i primitaka'!$H$3:$H$500,'Unos prihoda i primitaka'!$C$3:$C$500,"=12",'Unos prihoda i primitaka'!$L$3:$L$500,"=64")</f>
        <v>0</v>
      </c>
      <c r="F25" s="120">
        <f>SUMIFS('Unos prihoda i primitaka'!$H$3:$H$500,'Unos prihoda i primitaka'!$C$3:$C$500,"=31",'Unos prihoda i primitaka'!$L$3:$L$500,"=64")</f>
        <v>0</v>
      </c>
      <c r="G25" s="120">
        <f>SUMIFS('Unos prihoda i primitaka'!$H$3:$H$500,'Unos prihoda i primitaka'!$C$3:$C$500,"=41",'Unos prihoda i primitaka'!$L$3:$L$500,"=64")</f>
        <v>0</v>
      </c>
      <c r="H25" s="120">
        <f>SUMIFS('Unos prihoda i primitaka'!$H$3:$H$500,'Unos prihoda i primitaka'!$C$3:$C$500,"=43",'Unos prihoda i primitaka'!$L$3:$L$500,"=64")</f>
        <v>0</v>
      </c>
      <c r="I25" s="120">
        <f>SUMIFS('Unos prihoda i primitaka'!$H$3:$H$500,'Unos prihoda i primitaka'!$C$3:$C$500,"=51",'Unos prihoda i primitaka'!$L$3:$L$500,"=64")</f>
        <v>0</v>
      </c>
      <c r="J25" s="120">
        <f>SUMIFS('Unos prihoda i primitaka'!$H$3:$H$500,'Unos prihoda i primitaka'!$C$3:$C$500,"=52",'Unos prihoda i primitaka'!$L$3:$L$500,"=64")</f>
        <v>0</v>
      </c>
      <c r="K25" s="120">
        <f>SUMIFS('Unos prihoda i primitaka'!$H$3:$H$500,'Unos prihoda i primitaka'!$C$3:$C$500,"=552",'Unos prihoda i primitaka'!$L$3:$L$500,"=64")</f>
        <v>0</v>
      </c>
      <c r="L25" s="120">
        <f>SUMIFS('Unos prihoda i primitaka'!$H$3:$H$500,'Unos prihoda i primitaka'!$C$3:$C$500,"=559",'Unos prihoda i primitaka'!$L$3:$L$500,"=64")</f>
        <v>0</v>
      </c>
      <c r="M25" s="120">
        <f>SUMIFS('Unos prihoda i primitaka'!$H$3:$H$500,'Unos prihoda i primitaka'!$C$3:$C$500,"=561",'Unos prihoda i primitaka'!$L$3:$L$500,"=64")</f>
        <v>0</v>
      </c>
      <c r="N25" s="120">
        <f>SUMIFS('Unos prihoda i primitaka'!$H$3:$H$500,'Unos prihoda i primitaka'!$C$3:$C$500,"=563",'Unos prihoda i primitaka'!$L$3:$L$500,"=64")</f>
        <v>0</v>
      </c>
      <c r="O25" s="120">
        <f>SUMIFS('Unos prihoda i primitaka'!$H$3:$H$500,'Unos prihoda i primitaka'!$C$3:$C$500,"=573",'Unos prihoda i primitaka'!$L$3:$L$500,"=64")</f>
        <v>0</v>
      </c>
      <c r="P25" s="120">
        <f>SUMIFS('Unos prihoda i primitaka'!$H$3:$H$500,'Unos prihoda i primitaka'!$C$3:$C$500,"=575",'Unos prihoda i primitaka'!$L$3:$L$500,"=64")</f>
        <v>0</v>
      </c>
      <c r="Q25" s="120">
        <f>SUMIFS('Unos prihoda i primitaka'!$H$3:$H$500,'Unos prihoda i primitaka'!$C$3:$C$500,"=576",'Unos prihoda i primitaka'!$L$3:$L$500,"=64")</f>
        <v>0</v>
      </c>
      <c r="R25" s="120">
        <f>SUMIFS('Unos prihoda i primitaka'!$H$3:$H$500,'Unos prihoda i primitaka'!$C$3:$C$500,"=581",'Unos prihoda i primitaka'!$L$3:$L$500,"=64")</f>
        <v>0</v>
      </c>
      <c r="S25" s="120">
        <f>SUMIFS('Unos prihoda i primitaka'!$H$3:$H$500,'Unos prihoda i primitaka'!$C$3:$C$500,"=61",'Unos prihoda i primitaka'!$L$3:$L$500,"=64")</f>
        <v>0</v>
      </c>
      <c r="T25" s="120">
        <f>SUMIFS('Unos prihoda i primitaka'!$H$3:$H$500,'Unos prihoda i primitaka'!$C$3:$C$500,"=63",'Unos prihoda i primitaka'!$L$3:$L$500,"=64")</f>
        <v>0</v>
      </c>
      <c r="U25" s="120">
        <f>SUMIFS('Unos prihoda i primitaka'!$H$3:$H$500,'Unos prihoda i primitaka'!$C$3:$C$500,"=71",'Unos prihoda i primitaka'!$L$3:$L$500,"=64")</f>
        <v>0</v>
      </c>
    </row>
    <row r="26" spans="1:21" s="38" customFormat="1" ht="25.5">
      <c r="A26" s="42" t="s">
        <v>5090</v>
      </c>
      <c r="B26" s="43" t="s">
        <v>5091</v>
      </c>
      <c r="C26" s="27">
        <f t="shared" si="5"/>
        <v>266700</v>
      </c>
      <c r="D26" s="120">
        <f>SUMIFS('Unos prihoda i primitaka'!$H$3:$H$500,'Unos prihoda i primitaka'!$C$3:$C$500,"=11",'Unos prihoda i primitaka'!$L$3:$L$500,"=65")</f>
        <v>0</v>
      </c>
      <c r="E26" s="120">
        <f>SUMIFS('Unos prihoda i primitaka'!$H$3:$H$500,'Unos prihoda i primitaka'!$C$3:$C$500,"=12",'Unos prihoda i primitaka'!$L$3:$L$500,"=65")</f>
        <v>0</v>
      </c>
      <c r="F26" s="120">
        <f>SUMIFS('Unos prihoda i primitaka'!$H$3:$H$500,'Unos prihoda i primitaka'!$C$3:$C$500,"=31",'Unos prihoda i primitaka'!$L$3:$L$500,"=65")</f>
        <v>0</v>
      </c>
      <c r="G26" s="120">
        <f>SUMIFS('Unos prihoda i primitaka'!$H$3:$H$500,'Unos prihoda i primitaka'!$C$3:$C$500,"=41",'Unos prihoda i primitaka'!$L$3:$L$500,"=65")</f>
        <v>0</v>
      </c>
      <c r="H26" s="120">
        <f>SUMIFS('Unos prihoda i primitaka'!$H$3:$H$500,'Unos prihoda i primitaka'!$C$3:$C$500,"=43",'Unos prihoda i primitaka'!$L$3:$L$500,"=65")</f>
        <v>266700</v>
      </c>
      <c r="I26" s="120">
        <f>SUMIFS('Unos prihoda i primitaka'!$H$3:$H$500,'Unos prihoda i primitaka'!$C$3:$C$500,"=51",'Unos prihoda i primitaka'!$L$3:$L$500,"=65")</f>
        <v>0</v>
      </c>
      <c r="J26" s="120">
        <f>SUMIFS('Unos prihoda i primitaka'!$H$3:$H$500,'Unos prihoda i primitaka'!$C$3:$C$500,"=52",'Unos prihoda i primitaka'!$L$3:$L$500,"=65")</f>
        <v>0</v>
      </c>
      <c r="K26" s="120">
        <f>SUMIFS('Unos prihoda i primitaka'!$H$3:$H$500,'Unos prihoda i primitaka'!$C$3:$C$500,"=552",'Unos prihoda i primitaka'!$L$3:$L$500,"=65")</f>
        <v>0</v>
      </c>
      <c r="L26" s="120">
        <f>SUMIFS('Unos prihoda i primitaka'!$H$3:$H$500,'Unos prihoda i primitaka'!$C$3:$C$500,"=559",'Unos prihoda i primitaka'!$L$3:$L$500,"=65")</f>
        <v>0</v>
      </c>
      <c r="M26" s="120">
        <f>SUMIFS('Unos prihoda i primitaka'!$H$3:$H$500,'Unos prihoda i primitaka'!$C$3:$C$500,"=561",'Unos prihoda i primitaka'!$L$3:$L$500,"=65")</f>
        <v>0</v>
      </c>
      <c r="N26" s="120">
        <f>SUMIFS('Unos prihoda i primitaka'!$H$3:$H$500,'Unos prihoda i primitaka'!$C$3:$C$500,"=563",'Unos prihoda i primitaka'!$L$3:$L$500,"=65")</f>
        <v>0</v>
      </c>
      <c r="O26" s="120">
        <f>SUMIFS('Unos prihoda i primitaka'!$H$3:$H$500,'Unos prihoda i primitaka'!$C$3:$C$500,"=573",'Unos prihoda i primitaka'!$L$3:$L$500,"=65")</f>
        <v>0</v>
      </c>
      <c r="P26" s="120">
        <f>SUMIFS('Unos prihoda i primitaka'!$H$3:$H$500,'Unos prihoda i primitaka'!$C$3:$C$500,"=575",'Unos prihoda i primitaka'!$L$3:$L$500,"=65")</f>
        <v>0</v>
      </c>
      <c r="Q26" s="120">
        <f>SUMIFS('Unos prihoda i primitaka'!$H$3:$H$500,'Unos prihoda i primitaka'!$C$3:$C$500,"=576",'Unos prihoda i primitaka'!$L$3:$L$500,"=65")</f>
        <v>0</v>
      </c>
      <c r="R26" s="120">
        <f>SUMIFS('Unos prihoda i primitaka'!$H$3:$H$500,'Unos prihoda i primitaka'!$C$3:$C$500,"=581",'Unos prihoda i primitaka'!$L$3:$L$500,"=65")</f>
        <v>0</v>
      </c>
      <c r="S26" s="120">
        <f>SUMIFS('Unos prihoda i primitaka'!$H$3:$H$500,'Unos prihoda i primitaka'!$C$3:$C$500,"=61",'Unos prihoda i primitaka'!$L$3:$L$500,"=65")</f>
        <v>0</v>
      </c>
      <c r="T26" s="120">
        <f>SUMIFS('Unos prihoda i primitaka'!$H$3:$H$500,'Unos prihoda i primitaka'!$C$3:$C$500,"=63",'Unos prihoda i primitaka'!$L$3:$L$500,"=65")</f>
        <v>0</v>
      </c>
      <c r="U26" s="120">
        <f>SUMIFS('Unos prihoda i primitaka'!$H$3:$H$500,'Unos prihoda i primitaka'!$C$3:$C$500,"=71",'Unos prihoda i primitaka'!$L$3:$L$500,"=65")</f>
        <v>0</v>
      </c>
    </row>
    <row r="27" spans="1:21" s="38" customFormat="1" ht="25.5">
      <c r="A27" s="138" t="s">
        <v>5093</v>
      </c>
      <c r="B27" s="43" t="s">
        <v>5092</v>
      </c>
      <c r="C27" s="27">
        <f t="shared" si="5"/>
        <v>20000</v>
      </c>
      <c r="D27" s="120">
        <f>SUMIFS('Unos prihoda i primitaka'!$H$3:$H$500,'Unos prihoda i primitaka'!$C$3:$C$500,"=11",'Unos prihoda i primitaka'!$L$3:$L$500,"=66")</f>
        <v>0</v>
      </c>
      <c r="E27" s="120">
        <f>SUMIFS('Unos prihoda i primitaka'!$H$3:$H$500,'Unos prihoda i primitaka'!$C$3:$C$500,"=12",'Unos prihoda i primitaka'!$L$3:$L$500,"=66")</f>
        <v>0</v>
      </c>
      <c r="F27" s="120">
        <f>SUMIFS('Unos prihoda i primitaka'!$H$3:$H$500,'Unos prihoda i primitaka'!$C$3:$C$500,"=31",'Unos prihoda i primitaka'!$L$3:$L$500,"=66")</f>
        <v>20000</v>
      </c>
      <c r="G27" s="120">
        <f>SUMIFS('Unos prihoda i primitaka'!$H$3:$H$500,'Unos prihoda i primitaka'!$C$3:$C$500,"=41",'Unos prihoda i primitaka'!$L$3:$L$500,"=66")</f>
        <v>0</v>
      </c>
      <c r="H27" s="120">
        <f>SUMIFS('Unos prihoda i primitaka'!$H$3:$H$500,'Unos prihoda i primitaka'!$C$3:$C$500,"=43",'Unos prihoda i primitaka'!$L$3:$L$500,"=66")</f>
        <v>0</v>
      </c>
      <c r="I27" s="120">
        <f>SUMIFS('Unos prihoda i primitaka'!$H$3:$H$500,'Unos prihoda i primitaka'!$C$3:$C$500,"=51",'Unos prihoda i primitaka'!$L$3:$L$500,"=66")</f>
        <v>0</v>
      </c>
      <c r="J27" s="120">
        <f>SUMIFS('Unos prihoda i primitaka'!$H$3:$H$500,'Unos prihoda i primitaka'!$C$3:$C$500,"=52",'Unos prihoda i primitaka'!$L$3:$L$500,"=66")</f>
        <v>0</v>
      </c>
      <c r="K27" s="120">
        <f>SUMIFS('Unos prihoda i primitaka'!$H$3:$H$500,'Unos prihoda i primitaka'!$C$3:$C$500,"=552",'Unos prihoda i primitaka'!$L$3:$L$500,"=66")</f>
        <v>0</v>
      </c>
      <c r="L27" s="120">
        <f>SUMIFS('Unos prihoda i primitaka'!$H$3:$H$500,'Unos prihoda i primitaka'!$C$3:$C$500,"=559",'Unos prihoda i primitaka'!$L$3:$L$500,"=66")</f>
        <v>0</v>
      </c>
      <c r="M27" s="120">
        <f>SUMIFS('Unos prihoda i primitaka'!$H$3:$H$500,'Unos prihoda i primitaka'!$C$3:$C$500,"=561",'Unos prihoda i primitaka'!$L$3:$L$500,"=66")</f>
        <v>0</v>
      </c>
      <c r="N27" s="120">
        <f>SUMIFS('Unos prihoda i primitaka'!$H$3:$H$500,'Unos prihoda i primitaka'!$C$3:$C$500,"=563",'Unos prihoda i primitaka'!$L$3:$L$500,"=66")</f>
        <v>0</v>
      </c>
      <c r="O27" s="120">
        <f>SUMIFS('Unos prihoda i primitaka'!$H$3:$H$500,'Unos prihoda i primitaka'!$C$3:$C$500,"=573",'Unos prihoda i primitaka'!$L$3:$L$500,"=66")</f>
        <v>0</v>
      </c>
      <c r="P27" s="120">
        <f>SUMIFS('Unos prihoda i primitaka'!$H$3:$H$500,'Unos prihoda i primitaka'!$C$3:$C$500,"=575",'Unos prihoda i primitaka'!$L$3:$L$500,"=66")</f>
        <v>0</v>
      </c>
      <c r="Q27" s="120">
        <f>SUMIFS('Unos prihoda i primitaka'!$H$3:$H$500,'Unos prihoda i primitaka'!$C$3:$C$500,"=576",'Unos prihoda i primitaka'!$L$3:$L$500,"=66")</f>
        <v>0</v>
      </c>
      <c r="R27" s="120">
        <f>SUMIFS('Unos prihoda i primitaka'!$H$3:$H$500,'Unos prihoda i primitaka'!$C$3:$C$500,"=581",'Unos prihoda i primitaka'!$L$3:$L$500,"=66")</f>
        <v>0</v>
      </c>
      <c r="S27" s="120">
        <f>SUMIFS('Unos prihoda i primitaka'!$H$3:$H$500,'Unos prihoda i primitaka'!$C$3:$C$500,"=61",'Unos prihoda i primitaka'!$L$3:$L$500,"=66")</f>
        <v>0</v>
      </c>
      <c r="T27" s="120">
        <f>SUMIFS('Unos prihoda i primitaka'!$H$3:$H$500,'Unos prihoda i primitaka'!$C$3:$C$500,"=63",'Unos prihoda i primitaka'!$L$3:$L$500,"=66")</f>
        <v>0</v>
      </c>
      <c r="U27" s="120">
        <f>SUMIFS('Unos prihoda i primitaka'!$H$3:$H$500,'Unos prihoda i primitaka'!$C$3:$C$500,"=71",'Unos prihoda i primitaka'!$L$3:$L$500,"=66")</f>
        <v>0</v>
      </c>
    </row>
    <row r="28" spans="1:21" s="38" customFormat="1">
      <c r="A28" s="42" t="s">
        <v>5096</v>
      </c>
      <c r="B28" s="43" t="s">
        <v>5105</v>
      </c>
      <c r="C28" s="27">
        <f t="shared" si="5"/>
        <v>1497285.9282201293</v>
      </c>
      <c r="D28" s="120">
        <f>SUMIFS('Unos prihoda i primitaka'!$H$3:$H$500,'Unos prihoda i primitaka'!$C$3:$C$500,"=11",'Unos prihoda i primitaka'!$L$3:$L$500,"=67")</f>
        <v>1497285.9282201293</v>
      </c>
      <c r="E28" s="120">
        <f>SUMIFS('Unos prihoda i primitaka'!$H$3:$H$500,'Unos prihoda i primitaka'!$C$3:$C$500,"=12",'Unos prihoda i primitaka'!$L$3:$L$500,"=67")</f>
        <v>0</v>
      </c>
      <c r="F28" s="120">
        <f>SUMIFS('Unos prihoda i primitaka'!$H$3:$H$500,'Unos prihoda i primitaka'!$C$3:$C$500,"=31",'Unos prihoda i primitaka'!$L$3:$L$500,"=67")</f>
        <v>0</v>
      </c>
      <c r="G28" s="120">
        <f>SUMIFS('Unos prihoda i primitaka'!$H$3:$H$500,'Unos prihoda i primitaka'!$C$3:$C$500,"=41",'Unos prihoda i primitaka'!$L$3:$L$500,"=67")</f>
        <v>0</v>
      </c>
      <c r="H28" s="120">
        <f>SUMIFS('Unos prihoda i primitaka'!$H$3:$H$500,'Unos prihoda i primitaka'!$C$3:$C$500,"=43",'Unos prihoda i primitaka'!$L$3:$L$500,"=67")</f>
        <v>0</v>
      </c>
      <c r="I28" s="120">
        <f>SUMIFS('Unos prihoda i primitaka'!$H$3:$H$500,'Unos prihoda i primitaka'!$C$3:$C$500,"=51",'Unos prihoda i primitaka'!$L$3:$L$500,"=67")</f>
        <v>0</v>
      </c>
      <c r="J28" s="120">
        <f>SUMIFS('Unos prihoda i primitaka'!$H$3:$H$500,'Unos prihoda i primitaka'!$C$3:$C$500,"=52",'Unos prihoda i primitaka'!$L$3:$L$500,"=67")</f>
        <v>0</v>
      </c>
      <c r="K28" s="120">
        <f>SUMIFS('Unos prihoda i primitaka'!$H$3:$H$500,'Unos prihoda i primitaka'!$C$3:$C$500,"=552",'Unos prihoda i primitaka'!$L$3:$L$500,"=67")</f>
        <v>0</v>
      </c>
      <c r="L28" s="120">
        <f>SUMIFS('Unos prihoda i primitaka'!$H$3:$H$500,'Unos prihoda i primitaka'!$C$3:$C$500,"=559",'Unos prihoda i primitaka'!$L$3:$L$500,"=67")</f>
        <v>0</v>
      </c>
      <c r="M28" s="120">
        <f>SUMIFS('Unos prihoda i primitaka'!$H$3:$H$500,'Unos prihoda i primitaka'!$C$3:$C$500,"=561",'Unos prihoda i primitaka'!$L$3:$L$500,"=67")</f>
        <v>0</v>
      </c>
      <c r="N28" s="120">
        <f>SUMIFS('Unos prihoda i primitaka'!$H$3:$H$500,'Unos prihoda i primitaka'!$C$3:$C$500,"=563",'Unos prihoda i primitaka'!$L$3:$L$500,"=67")</f>
        <v>0</v>
      </c>
      <c r="O28" s="120">
        <f>SUMIFS('Unos prihoda i primitaka'!$H$3:$H$500,'Unos prihoda i primitaka'!$C$3:$C$500,"=573",'Unos prihoda i primitaka'!$L$3:$L$500,"=67")</f>
        <v>0</v>
      </c>
      <c r="P28" s="120">
        <f>SUMIFS('Unos prihoda i primitaka'!$H$3:$H$500,'Unos prihoda i primitaka'!$C$3:$C$500,"=575",'Unos prihoda i primitaka'!$L$3:$L$500,"=67")</f>
        <v>0</v>
      </c>
      <c r="Q28" s="120">
        <f>SUMIFS('Unos prihoda i primitaka'!$H$3:$H$500,'Unos prihoda i primitaka'!$C$3:$C$500,"=576",'Unos prihoda i primitaka'!$L$3:$L$500,"=67")</f>
        <v>0</v>
      </c>
      <c r="R28" s="120">
        <f>SUMIFS('Unos prihoda i primitaka'!$H$3:$H$500,'Unos prihoda i primitaka'!$C$3:$C$500,"=581",'Unos prihoda i primitaka'!$L$3:$L$500,"=67")</f>
        <v>0</v>
      </c>
      <c r="S28" s="120">
        <f>SUMIFS('Unos prihoda i primitaka'!$H$3:$H$500,'Unos prihoda i primitaka'!$C$3:$C$500,"=61",'Unos prihoda i primitaka'!$L$3:$L$500,"=67")</f>
        <v>0</v>
      </c>
      <c r="T28" s="120">
        <f>SUMIFS('Unos prihoda i primitaka'!$H$3:$H$500,'Unos prihoda i primitaka'!$C$3:$C$500,"=63",'Unos prihoda i primitaka'!$L$3:$L$500,"=67")</f>
        <v>0</v>
      </c>
      <c r="U28" s="120">
        <f>SUMIFS('Unos prihoda i primitaka'!$H$3:$H$500,'Unos prihoda i primitaka'!$C$3:$C$500,"=71",'Unos prihoda i primitaka'!$L$3:$L$500,"=67")</f>
        <v>0</v>
      </c>
    </row>
    <row r="29" spans="1:21" s="38" customFormat="1">
      <c r="A29" s="42" t="s">
        <v>5095</v>
      </c>
      <c r="B29" s="43" t="s">
        <v>5094</v>
      </c>
      <c r="C29" s="27">
        <f t="shared" si="5"/>
        <v>0</v>
      </c>
      <c r="D29" s="120">
        <f>SUMIFS('Unos prihoda i primitaka'!$H$3:$H$500,'Unos prihoda i primitaka'!$C$3:$C$500,"=11",'Unos prihoda i primitaka'!$L$3:$L$500,"=68")</f>
        <v>0</v>
      </c>
      <c r="E29" s="120">
        <f>SUMIFS('Unos prihoda i primitaka'!$H$3:$H$500,'Unos prihoda i primitaka'!$C$3:$C$500,"=12",'Unos prihoda i primitaka'!$L$3:$L$500,"=68")</f>
        <v>0</v>
      </c>
      <c r="F29" s="120">
        <f>SUMIFS('Unos prihoda i primitaka'!$H$3:$H$500,'Unos prihoda i primitaka'!$C$3:$C$500,"=31",'Unos prihoda i primitaka'!$L$3:$L$500,"=68")</f>
        <v>0</v>
      </c>
      <c r="G29" s="120">
        <f>SUMIFS('Unos prihoda i primitaka'!$H$3:$H$500,'Unos prihoda i primitaka'!$C$3:$C$500,"=41",'Unos prihoda i primitaka'!$L$3:$L$500,"=68")</f>
        <v>0</v>
      </c>
      <c r="H29" s="120">
        <f>SUMIFS('Unos prihoda i primitaka'!$H$3:$H$500,'Unos prihoda i primitaka'!$C$3:$C$500,"=43",'Unos prihoda i primitaka'!$L$3:$L$500,"=68")</f>
        <v>0</v>
      </c>
      <c r="I29" s="120">
        <f>SUMIFS('Unos prihoda i primitaka'!$H$3:$H$500,'Unos prihoda i primitaka'!$C$3:$C$500,"=51",'Unos prihoda i primitaka'!$L$3:$L$500,"=68")</f>
        <v>0</v>
      </c>
      <c r="J29" s="120">
        <f>SUMIFS('Unos prihoda i primitaka'!$H$3:$H$500,'Unos prihoda i primitaka'!$C$3:$C$500,"=52",'Unos prihoda i primitaka'!$L$3:$L$500,"=68")</f>
        <v>0</v>
      </c>
      <c r="K29" s="120">
        <f>SUMIFS('Unos prihoda i primitaka'!$H$3:$H$500,'Unos prihoda i primitaka'!$C$3:$C$500,"=552",'Unos prihoda i primitaka'!$L$3:$L$500,"=68")</f>
        <v>0</v>
      </c>
      <c r="L29" s="120">
        <f>SUMIFS('Unos prihoda i primitaka'!$H$3:$H$500,'Unos prihoda i primitaka'!$C$3:$C$500,"=559",'Unos prihoda i primitaka'!$L$3:$L$500,"=68")</f>
        <v>0</v>
      </c>
      <c r="M29" s="120">
        <f>SUMIFS('Unos prihoda i primitaka'!$H$3:$H$500,'Unos prihoda i primitaka'!$C$3:$C$500,"=561",'Unos prihoda i primitaka'!$L$3:$L$500,"=68")</f>
        <v>0</v>
      </c>
      <c r="N29" s="120">
        <f>SUMIFS('Unos prihoda i primitaka'!$H$3:$H$500,'Unos prihoda i primitaka'!$C$3:$C$500,"=563",'Unos prihoda i primitaka'!$L$3:$L$500,"=68")</f>
        <v>0</v>
      </c>
      <c r="O29" s="120">
        <f>SUMIFS('Unos prihoda i primitaka'!$H$3:$H$500,'Unos prihoda i primitaka'!$C$3:$C$500,"=573",'Unos prihoda i primitaka'!$L$3:$L$500,"=68")</f>
        <v>0</v>
      </c>
      <c r="P29" s="120">
        <f>SUMIFS('Unos prihoda i primitaka'!$H$3:$H$500,'Unos prihoda i primitaka'!$C$3:$C$500,"=575",'Unos prihoda i primitaka'!$L$3:$L$500,"=68")</f>
        <v>0</v>
      </c>
      <c r="Q29" s="120">
        <f>SUMIFS('Unos prihoda i primitaka'!$H$3:$H$500,'Unos prihoda i primitaka'!$C$3:$C$500,"=576",'Unos prihoda i primitaka'!$L$3:$L$500,"=68")</f>
        <v>0</v>
      </c>
      <c r="R29" s="120">
        <f>SUMIFS('Unos prihoda i primitaka'!$H$3:$H$500,'Unos prihoda i primitaka'!$C$3:$C$500,"=581",'Unos prihoda i primitaka'!$L$3:$L$500,"=68")</f>
        <v>0</v>
      </c>
      <c r="S29" s="120">
        <f>SUMIFS('Unos prihoda i primitaka'!$H$3:$H$500,'Unos prihoda i primitaka'!$C$3:$C$500,"=61",'Unos prihoda i primitaka'!$L$3:$L$500,"=68")</f>
        <v>0</v>
      </c>
      <c r="T29" s="120">
        <f>SUMIFS('Unos prihoda i primitaka'!$H$3:$H$500,'Unos prihoda i primitaka'!$C$3:$C$500,"=63",'Unos prihoda i primitaka'!$L$3:$L$500,"=68")</f>
        <v>0</v>
      </c>
      <c r="U29" s="120">
        <f>SUMIFS('Unos prihoda i primitaka'!$H$3:$H$500,'Unos prihoda i primitaka'!$C$3:$C$500,"=71",'Unos prihoda i primitaka'!$L$3:$L$500,"=68")</f>
        <v>0</v>
      </c>
    </row>
    <row r="30" spans="1:21" s="38" customFormat="1">
      <c r="A30" s="45" t="s">
        <v>247</v>
      </c>
      <c r="B30" s="46" t="s">
        <v>248</v>
      </c>
      <c r="C30" s="27">
        <f t="shared" si="5"/>
        <v>3450550.9282201296</v>
      </c>
      <c r="D30" s="3">
        <f t="shared" ref="D30:U30" si="6">SUM(D23:D29)</f>
        <v>1497285.9282201293</v>
      </c>
      <c r="E30" s="3">
        <f t="shared" si="6"/>
        <v>0</v>
      </c>
      <c r="F30" s="3">
        <f t="shared" si="6"/>
        <v>20000</v>
      </c>
      <c r="G30" s="3">
        <f t="shared" si="6"/>
        <v>0</v>
      </c>
      <c r="H30" s="3">
        <f t="shared" si="6"/>
        <v>266700</v>
      </c>
      <c r="I30" s="3">
        <f t="shared" si="6"/>
        <v>0</v>
      </c>
      <c r="J30" s="3">
        <f t="shared" si="6"/>
        <v>66565</v>
      </c>
      <c r="K30" s="3">
        <f t="shared" si="6"/>
        <v>0</v>
      </c>
      <c r="L30" s="3">
        <f t="shared" si="6"/>
        <v>0</v>
      </c>
      <c r="M30" s="3">
        <f t="shared" si="6"/>
        <v>0</v>
      </c>
      <c r="N30" s="3">
        <f t="shared" si="6"/>
        <v>1600000</v>
      </c>
      <c r="O30" s="3">
        <f t="shared" si="6"/>
        <v>0</v>
      </c>
      <c r="P30" s="3">
        <f t="shared" si="6"/>
        <v>0</v>
      </c>
      <c r="Q30" s="3">
        <f t="shared" si="6"/>
        <v>0</v>
      </c>
      <c r="R30" s="3">
        <f t="shared" si="6"/>
        <v>0</v>
      </c>
      <c r="S30" s="3">
        <f t="shared" si="6"/>
        <v>0</v>
      </c>
      <c r="T30" s="3">
        <f t="shared" si="6"/>
        <v>0</v>
      </c>
      <c r="U30" s="3">
        <f t="shared" si="6"/>
        <v>0</v>
      </c>
    </row>
    <row r="31" spans="1:21" s="38" customFormat="1">
      <c r="A31" s="42" t="s">
        <v>5097</v>
      </c>
      <c r="B31" s="47" t="s">
        <v>5098</v>
      </c>
      <c r="C31" s="27">
        <f t="shared" si="5"/>
        <v>0</v>
      </c>
      <c r="D31" s="120">
        <f>SUMIFS('Unos prihoda i primitaka'!$H$3:$H$500,'Unos prihoda i primitaka'!$C$3:$C$500,"=11",'Unos prihoda i primitaka'!$L$3:$L$500,"=71")</f>
        <v>0</v>
      </c>
      <c r="E31" s="120">
        <f>SUMIFS('Unos prihoda i primitaka'!$H$3:$H$500,'Unos prihoda i primitaka'!$C$3:$C$500,"=12",'Unos prihoda i primitaka'!$L$3:$L$500,"=71")</f>
        <v>0</v>
      </c>
      <c r="F31" s="120">
        <f>SUMIFS('Unos prihoda i primitaka'!$H$3:$H$500,'Unos prihoda i primitaka'!$C$3:$C$500,"=31",'Unos prihoda i primitaka'!$L$3:$L$500,"=71")</f>
        <v>0</v>
      </c>
      <c r="G31" s="120">
        <f>SUMIFS('Unos prihoda i primitaka'!$H$3:$H$500,'Unos prihoda i primitaka'!$C$3:$C$500,"=41",'Unos prihoda i primitaka'!$L$3:$L$500,"=71")</f>
        <v>0</v>
      </c>
      <c r="H31" s="120">
        <f>SUMIFS('Unos prihoda i primitaka'!$H$3:$H$500,'Unos prihoda i primitaka'!$C$3:$C$500,"=43",'Unos prihoda i primitaka'!$L$3:$L$500,"=71")</f>
        <v>0</v>
      </c>
      <c r="I31" s="120">
        <f>SUMIFS('Unos prihoda i primitaka'!$H$3:$H$500,'Unos prihoda i primitaka'!$C$3:$C$500,"=51",'Unos prihoda i primitaka'!$L$3:$L$500,"=71")</f>
        <v>0</v>
      </c>
      <c r="J31" s="120">
        <f>SUMIFS('Unos prihoda i primitaka'!$H$3:$H$500,'Unos prihoda i primitaka'!$C$3:$C$500,"=52",'Unos prihoda i primitaka'!$L$3:$L$500,"=71")</f>
        <v>0</v>
      </c>
      <c r="K31" s="120">
        <f>SUMIFS('Unos prihoda i primitaka'!$H$3:$H$500,'Unos prihoda i primitaka'!$C$3:$C$500,"=552",'Unos prihoda i primitaka'!$L$3:$L$500,"=71")</f>
        <v>0</v>
      </c>
      <c r="L31" s="120">
        <f>SUMIFS('Unos prihoda i primitaka'!$H$3:$H$500,'Unos prihoda i primitaka'!$C$3:$C$500,"=559",'Unos prihoda i primitaka'!$L$3:$L$500,"=71")</f>
        <v>0</v>
      </c>
      <c r="M31" s="120">
        <f>SUMIFS('Unos prihoda i primitaka'!$H$3:$H$500,'Unos prihoda i primitaka'!$C$3:$C$500,"=561",'Unos prihoda i primitaka'!$L$3:$L$500,"=71")</f>
        <v>0</v>
      </c>
      <c r="N31" s="120">
        <f>SUMIFS('Unos prihoda i primitaka'!$H$3:$H$500,'Unos prihoda i primitaka'!$C$3:$C$500,"=563",'Unos prihoda i primitaka'!$L$3:$L$500,"=71")</f>
        <v>0</v>
      </c>
      <c r="O31" s="120">
        <f>SUMIFS('Unos prihoda i primitaka'!$H$3:$H$500,'Unos prihoda i primitaka'!$C$3:$C$500,"=573",'Unos prihoda i primitaka'!$L$3:$L$500,"=71")</f>
        <v>0</v>
      </c>
      <c r="P31" s="120">
        <f>SUMIFS('Unos prihoda i primitaka'!$H$3:$H$500,'Unos prihoda i primitaka'!$C$3:$C$500,"=575",'Unos prihoda i primitaka'!$L$3:$L$500,"=71")</f>
        <v>0</v>
      </c>
      <c r="Q31" s="120">
        <f>SUMIFS('Unos prihoda i primitaka'!$H$3:$H$500,'Unos prihoda i primitaka'!$C$3:$C$500,"=576",'Unos prihoda i primitaka'!$L$3:$L$500,"=71")</f>
        <v>0</v>
      </c>
      <c r="R31" s="120">
        <f>SUMIFS('Unos prihoda i primitaka'!$H$3:$H$500,'Unos prihoda i primitaka'!$C$3:$C$500,"=581",'Unos prihoda i primitaka'!$L$3:$L$500,"=71")</f>
        <v>0</v>
      </c>
      <c r="S31" s="120">
        <f>SUMIFS('Unos prihoda i primitaka'!$H$3:$H$500,'Unos prihoda i primitaka'!$C$3:$C$500,"=61",'Unos prihoda i primitaka'!$L$3:$L$500,"=71")</f>
        <v>0</v>
      </c>
      <c r="T31" s="120">
        <f>SUMIFS('Unos prihoda i primitaka'!$H$3:$H$500,'Unos prihoda i primitaka'!$C$3:$C$500,"=63",'Unos prihoda i primitaka'!$L$3:$L$500,"=71")</f>
        <v>0</v>
      </c>
      <c r="U31" s="120">
        <f>SUMIFS('Unos prihoda i primitaka'!$H$3:$H$500,'Unos prihoda i primitaka'!$C$3:$C$500,"=71",'Unos prihoda i primitaka'!$L$3:$L$500,"=71")</f>
        <v>0</v>
      </c>
    </row>
    <row r="32" spans="1:21" s="38" customFormat="1">
      <c r="A32" s="42" t="s">
        <v>5099</v>
      </c>
      <c r="B32" s="47" t="s">
        <v>5100</v>
      </c>
      <c r="C32" s="27">
        <f t="shared" si="5"/>
        <v>0</v>
      </c>
      <c r="D32" s="120">
        <f>SUMIFS('Unos prihoda i primitaka'!$H$3:$H$500,'Unos prihoda i primitaka'!$C$3:$C$500,"=11",'Unos prihoda i primitaka'!$L$3:$L$500,"=72")</f>
        <v>0</v>
      </c>
      <c r="E32" s="120">
        <f>SUMIFS('Unos prihoda i primitaka'!$H$3:$H$500,'Unos prihoda i primitaka'!$C$3:$C$500,"=12",'Unos prihoda i primitaka'!$L$3:$L$500,"=72")</f>
        <v>0</v>
      </c>
      <c r="F32" s="120">
        <f>SUMIFS('Unos prihoda i primitaka'!$H$3:$H$500,'Unos prihoda i primitaka'!$C$3:$C$500,"=31",'Unos prihoda i primitaka'!$L$3:$L$500,"=72")</f>
        <v>0</v>
      </c>
      <c r="G32" s="120">
        <f>SUMIFS('Unos prihoda i primitaka'!$H$3:$H$500,'Unos prihoda i primitaka'!$C$3:$C$500,"=41",'Unos prihoda i primitaka'!$L$3:$L$500,"=72")</f>
        <v>0</v>
      </c>
      <c r="H32" s="120">
        <f>SUMIFS('Unos prihoda i primitaka'!$H$3:$H$500,'Unos prihoda i primitaka'!$C$3:$C$500,"=43",'Unos prihoda i primitaka'!$L$3:$L$500,"=72")</f>
        <v>0</v>
      </c>
      <c r="I32" s="120">
        <f>SUMIFS('Unos prihoda i primitaka'!$H$3:$H$500,'Unos prihoda i primitaka'!$C$3:$C$500,"=51",'Unos prihoda i primitaka'!$L$3:$L$500,"=72")</f>
        <v>0</v>
      </c>
      <c r="J32" s="120">
        <f>SUMIFS('Unos prihoda i primitaka'!$H$3:$H$500,'Unos prihoda i primitaka'!$C$3:$C$500,"=52",'Unos prihoda i primitaka'!$L$3:$L$500,"=72")</f>
        <v>0</v>
      </c>
      <c r="K32" s="120">
        <f>SUMIFS('Unos prihoda i primitaka'!$H$3:$H$500,'Unos prihoda i primitaka'!$C$3:$C$500,"=552",'Unos prihoda i primitaka'!$L$3:$L$500,"=72")</f>
        <v>0</v>
      </c>
      <c r="L32" s="120">
        <f>SUMIFS('Unos prihoda i primitaka'!$H$3:$H$500,'Unos prihoda i primitaka'!$C$3:$C$500,"=559",'Unos prihoda i primitaka'!$L$3:$L$500,"=72")</f>
        <v>0</v>
      </c>
      <c r="M32" s="120">
        <f>SUMIFS('Unos prihoda i primitaka'!$H$3:$H$500,'Unos prihoda i primitaka'!$C$3:$C$500,"=561",'Unos prihoda i primitaka'!$L$3:$L$500,"=72")</f>
        <v>0</v>
      </c>
      <c r="N32" s="120">
        <f>SUMIFS('Unos prihoda i primitaka'!$H$3:$H$500,'Unos prihoda i primitaka'!$C$3:$C$500,"=563",'Unos prihoda i primitaka'!$L$3:$L$500,"=72")</f>
        <v>0</v>
      </c>
      <c r="O32" s="120">
        <f>SUMIFS('Unos prihoda i primitaka'!$H$3:$H$500,'Unos prihoda i primitaka'!$C$3:$C$500,"=573",'Unos prihoda i primitaka'!$L$3:$L$500,"=72")</f>
        <v>0</v>
      </c>
      <c r="P32" s="120">
        <f>SUMIFS('Unos prihoda i primitaka'!$H$3:$H$500,'Unos prihoda i primitaka'!$C$3:$C$500,"=575",'Unos prihoda i primitaka'!$L$3:$L$500,"=72")</f>
        <v>0</v>
      </c>
      <c r="Q32" s="120">
        <f>SUMIFS('Unos prihoda i primitaka'!$H$3:$H$500,'Unos prihoda i primitaka'!$C$3:$C$500,"=576",'Unos prihoda i primitaka'!$L$3:$L$500,"=72")</f>
        <v>0</v>
      </c>
      <c r="R32" s="120">
        <f>SUMIFS('Unos prihoda i primitaka'!$H$3:$H$500,'Unos prihoda i primitaka'!$C$3:$C$500,"=581",'Unos prihoda i primitaka'!$L$3:$L$500,"=72")</f>
        <v>0</v>
      </c>
      <c r="S32" s="120">
        <f>SUMIFS('Unos prihoda i primitaka'!$H$3:$H$500,'Unos prihoda i primitaka'!$C$3:$C$500,"=61",'Unos prihoda i primitaka'!$L$3:$L$500,"=72")</f>
        <v>0</v>
      </c>
      <c r="T32" s="120">
        <f>SUMIFS('Unos prihoda i primitaka'!$H$3:$H$500,'Unos prihoda i primitaka'!$C$3:$C$500,"=63",'Unos prihoda i primitaka'!$L$3:$L$500,"=72")</f>
        <v>0</v>
      </c>
      <c r="U32" s="120">
        <f>SUMIFS('Unos prihoda i primitaka'!$H$3:$H$500,'Unos prihoda i primitaka'!$C$3:$C$500,"=71",'Unos prihoda i primitaka'!$L$3:$L$500,"=72")</f>
        <v>0</v>
      </c>
    </row>
    <row r="33" spans="1:21" s="38" customFormat="1">
      <c r="A33" s="45" t="s">
        <v>249</v>
      </c>
      <c r="B33" s="46" t="s">
        <v>248</v>
      </c>
      <c r="C33" s="27">
        <f t="shared" si="5"/>
        <v>0</v>
      </c>
      <c r="D33" s="3">
        <f t="shared" ref="D33:U33" si="7">SUM(D31:D32)</f>
        <v>0</v>
      </c>
      <c r="E33" s="3">
        <f t="shared" si="7"/>
        <v>0</v>
      </c>
      <c r="F33" s="3">
        <f t="shared" si="7"/>
        <v>0</v>
      </c>
      <c r="G33" s="3">
        <f t="shared" si="7"/>
        <v>0</v>
      </c>
      <c r="H33" s="3">
        <f t="shared" si="7"/>
        <v>0</v>
      </c>
      <c r="I33" s="3">
        <f t="shared" si="7"/>
        <v>0</v>
      </c>
      <c r="J33" s="3">
        <f t="shared" si="7"/>
        <v>0</v>
      </c>
      <c r="K33" s="3">
        <f t="shared" si="7"/>
        <v>0</v>
      </c>
      <c r="L33" s="3">
        <f t="shared" si="7"/>
        <v>0</v>
      </c>
      <c r="M33" s="3">
        <f t="shared" si="7"/>
        <v>0</v>
      </c>
      <c r="N33" s="3">
        <f t="shared" si="7"/>
        <v>0</v>
      </c>
      <c r="O33" s="3">
        <f t="shared" si="7"/>
        <v>0</v>
      </c>
      <c r="P33" s="3">
        <f t="shared" si="7"/>
        <v>0</v>
      </c>
      <c r="Q33" s="3">
        <f t="shared" si="7"/>
        <v>0</v>
      </c>
      <c r="R33" s="3">
        <f t="shared" si="7"/>
        <v>0</v>
      </c>
      <c r="S33" s="3">
        <f t="shared" si="7"/>
        <v>0</v>
      </c>
      <c r="T33" s="3">
        <f t="shared" si="7"/>
        <v>0</v>
      </c>
      <c r="U33" s="3">
        <f t="shared" si="7"/>
        <v>0</v>
      </c>
    </row>
    <row r="34" spans="1:21">
      <c r="A34" s="20"/>
      <c r="B34" s="20"/>
      <c r="C34" s="20"/>
      <c r="D34" s="20"/>
      <c r="E34" s="20"/>
      <c r="F34" s="20"/>
      <c r="G34" s="20"/>
      <c r="H34" s="50"/>
      <c r="I34" s="51"/>
      <c r="J34" s="51"/>
      <c r="K34" s="51"/>
      <c r="L34" s="51"/>
      <c r="M34" s="51"/>
      <c r="N34" s="51"/>
      <c r="O34" s="51"/>
      <c r="P34" s="51"/>
      <c r="Q34" s="51"/>
      <c r="R34" s="39"/>
    </row>
    <row r="35" spans="1:21" s="38" customFormat="1" ht="89.25">
      <c r="A35" s="40" t="s">
        <v>237</v>
      </c>
      <c r="B35" s="40" t="s">
        <v>238</v>
      </c>
      <c r="C35" s="183" t="s">
        <v>239</v>
      </c>
      <c r="D35" s="170" t="s">
        <v>259</v>
      </c>
      <c r="E35" s="170" t="s">
        <v>251</v>
      </c>
      <c r="F35" s="171" t="s">
        <v>16</v>
      </c>
      <c r="G35" s="171" t="s">
        <v>1229</v>
      </c>
      <c r="H35" s="171" t="s">
        <v>17</v>
      </c>
      <c r="I35" s="171" t="s">
        <v>240</v>
      </c>
      <c r="J35" s="171" t="s">
        <v>241</v>
      </c>
      <c r="K35" s="171" t="s">
        <v>1230</v>
      </c>
      <c r="L35" s="171" t="s">
        <v>242</v>
      </c>
      <c r="M35" s="171" t="s">
        <v>243</v>
      </c>
      <c r="N35" s="171" t="s">
        <v>244</v>
      </c>
      <c r="O35" s="171" t="s">
        <v>1231</v>
      </c>
      <c r="P35" s="171" t="s">
        <v>1232</v>
      </c>
      <c r="Q35" s="171" t="s">
        <v>1707</v>
      </c>
      <c r="R35" s="41" t="s">
        <v>3017</v>
      </c>
      <c r="S35" s="41" t="s">
        <v>245</v>
      </c>
      <c r="T35" s="41" t="s">
        <v>246</v>
      </c>
      <c r="U35" s="41" t="s">
        <v>250</v>
      </c>
    </row>
    <row r="36" spans="1:21" s="38" customFormat="1" ht="20.25" customHeight="1">
      <c r="A36" s="337">
        <v>2023</v>
      </c>
      <c r="B36" s="337" t="s">
        <v>5267</v>
      </c>
      <c r="C36" s="60">
        <f t="shared" ref="C36:C47" si="8">SUM(D36:U36)</f>
        <v>2389914.92</v>
      </c>
      <c r="D36" s="60">
        <f t="shared" ref="D36:U36" si="9">+D47+D44</f>
        <v>701146.3</v>
      </c>
      <c r="E36" s="60">
        <f t="shared" si="9"/>
        <v>0</v>
      </c>
      <c r="F36" s="60">
        <f t="shared" si="9"/>
        <v>12187.66</v>
      </c>
      <c r="G36" s="60">
        <f t="shared" si="9"/>
        <v>0</v>
      </c>
      <c r="H36" s="60">
        <f t="shared" si="9"/>
        <v>131679.96</v>
      </c>
      <c r="I36" s="60">
        <f t="shared" si="9"/>
        <v>0</v>
      </c>
      <c r="J36" s="60">
        <f t="shared" si="9"/>
        <v>83748.28</v>
      </c>
      <c r="K36" s="60">
        <f t="shared" si="9"/>
        <v>0</v>
      </c>
      <c r="L36" s="60">
        <f t="shared" si="9"/>
        <v>0</v>
      </c>
      <c r="M36" s="60">
        <f t="shared" si="9"/>
        <v>0</v>
      </c>
      <c r="N36" s="60">
        <f t="shared" si="9"/>
        <v>1283823.7</v>
      </c>
      <c r="O36" s="60">
        <f t="shared" si="9"/>
        <v>0</v>
      </c>
      <c r="P36" s="60">
        <f t="shared" si="9"/>
        <v>0</v>
      </c>
      <c r="Q36" s="60">
        <f t="shared" si="9"/>
        <v>0</v>
      </c>
      <c r="R36" s="60">
        <f t="shared" si="9"/>
        <v>0</v>
      </c>
      <c r="S36" s="60">
        <f t="shared" si="9"/>
        <v>177329.02</v>
      </c>
      <c r="T36" s="60">
        <f t="shared" si="9"/>
        <v>0</v>
      </c>
      <c r="U36" s="60">
        <f t="shared" si="9"/>
        <v>0</v>
      </c>
    </row>
    <row r="37" spans="1:21" s="38" customFormat="1">
      <c r="A37" s="44" t="s">
        <v>5085</v>
      </c>
      <c r="B37" s="57" t="s">
        <v>5084</v>
      </c>
      <c r="C37" s="27">
        <f t="shared" si="8"/>
        <v>0</v>
      </c>
      <c r="D37" s="120">
        <f>SUMIFS('Unos prihoda i primitaka'!$I$3:$I$500,'Unos prihoda i primitaka'!$C$3:$C$500,"=11",'Unos prihoda i primitaka'!$L$3:$L$500,"=61")</f>
        <v>0</v>
      </c>
      <c r="E37" s="120">
        <f>SUMIFS('Unos prihoda i primitaka'!$I$3:$I$500,'Unos prihoda i primitaka'!$C$3:$C$500,"=12",'Unos prihoda i primitaka'!$L$3:$L$500,"=61")</f>
        <v>0</v>
      </c>
      <c r="F37" s="120">
        <f>SUMIFS('Unos prihoda i primitaka'!$I$3:$I$500,'Unos prihoda i primitaka'!$C$3:$C$500,"=31",'Unos prihoda i primitaka'!$L$3:$L$500,"=61")</f>
        <v>0</v>
      </c>
      <c r="G37" s="120">
        <f>SUMIFS('Unos prihoda i primitaka'!$I$3:$I$500,'Unos prihoda i primitaka'!$C$3:$C$500,"=41",'Unos prihoda i primitaka'!$L$3:$L$500,"=61")</f>
        <v>0</v>
      </c>
      <c r="H37" s="120">
        <f>SUMIFS('Unos prihoda i primitaka'!$I$3:$I$500,'Unos prihoda i primitaka'!$C$3:$C$500,"=43",'Unos prihoda i primitaka'!$L$3:$L$500,"=61")</f>
        <v>0</v>
      </c>
      <c r="I37" s="120">
        <f>SUMIFS('Unos prihoda i primitaka'!$I$3:$I$500,'Unos prihoda i primitaka'!$C$3:$C$500,"=51",'Unos prihoda i primitaka'!$L$3:$L$500,"=61")</f>
        <v>0</v>
      </c>
      <c r="J37" s="120">
        <f>SUMIFS('Unos prihoda i primitaka'!$I$3:$I$500,'Unos prihoda i primitaka'!$C$3:$C$500,"=52",'Unos prihoda i primitaka'!$L$3:$L$500,"=61")</f>
        <v>0</v>
      </c>
      <c r="K37" s="120">
        <f>SUMIFS('Unos prihoda i primitaka'!$I$3:$I$500,'Unos prihoda i primitaka'!$C$3:$C$500,"=552",'Unos prihoda i primitaka'!$L$3:$L$500,"=61")</f>
        <v>0</v>
      </c>
      <c r="L37" s="120">
        <f>SUMIFS('Unos prihoda i primitaka'!$I$3:$I$500,'Unos prihoda i primitaka'!$C$3:$C$500,"=559",'Unos prihoda i primitaka'!$L$3:$L$500,"=61")</f>
        <v>0</v>
      </c>
      <c r="M37" s="120">
        <f>SUMIFS('Unos prihoda i primitaka'!$I$3:$I$500,'Unos prihoda i primitaka'!$C$3:$C$500,"=561",'Unos prihoda i primitaka'!$L$3:$L$500,"=61")</f>
        <v>0</v>
      </c>
      <c r="N37" s="120">
        <f>SUMIFS('Unos prihoda i primitaka'!$I$3:$I$500,'Unos prihoda i primitaka'!$C$3:$C$500,"=563",'Unos prihoda i primitaka'!$L$3:$L$500,"=61")</f>
        <v>0</v>
      </c>
      <c r="O37" s="120">
        <f>SUMIFS('Unos prihoda i primitaka'!$I$3:$I$500,'Unos prihoda i primitaka'!$C$3:$C$500,"=573",'Unos prihoda i primitaka'!$L$3:$L$500,"=61")</f>
        <v>0</v>
      </c>
      <c r="P37" s="120">
        <f>SUMIFS('Unos prihoda i primitaka'!$I$3:$I$500,'Unos prihoda i primitaka'!$C$3:$C$500,"=575",'Unos prihoda i primitaka'!$L$3:$L$500,"=61")</f>
        <v>0</v>
      </c>
      <c r="Q37" s="120">
        <f>SUMIFS('Unos prihoda i primitaka'!$I$3:$I$500,'Unos prihoda i primitaka'!$C$3:$C$500,"=576",'Unos prihoda i primitaka'!$L$3:$L$500,"=61")</f>
        <v>0</v>
      </c>
      <c r="R37" s="120">
        <f>SUMIFS('Unos prihoda i primitaka'!$I$3:$I$500,'Unos prihoda i primitaka'!$C$3:$C$500,"=581",'Unos prihoda i primitaka'!$L$3:$L$500,"=61")</f>
        <v>0</v>
      </c>
      <c r="S37" s="120">
        <f>SUMIFS('Unos prihoda i primitaka'!$I$3:$I$500,'Unos prihoda i primitaka'!$C$3:$C$500,"=61",'Unos prihoda i primitaka'!$L$3:$L$500,"=61")</f>
        <v>0</v>
      </c>
      <c r="T37" s="120">
        <f>SUMIFS('Unos prihoda i primitaka'!$I$3:$I$500,'Unos prihoda i primitaka'!$C$3:$C$500,"=63",'Unos prihoda i primitaka'!$L$3:$L$500,"=61")</f>
        <v>0</v>
      </c>
      <c r="U37" s="120">
        <f>SUMIFS('Unos prihoda i primitaka'!$I$3:$I$500,'Unos prihoda i primitaka'!$C$3:$C$500,"=71",'Unos prihoda i primitaka'!$L$3:$L$500,"=61")</f>
        <v>0</v>
      </c>
    </row>
    <row r="38" spans="1:21" s="38" customFormat="1" ht="25.5">
      <c r="A38" s="44" t="s">
        <v>5087</v>
      </c>
      <c r="B38" s="57" t="s">
        <v>5086</v>
      </c>
      <c r="C38" s="27">
        <f t="shared" si="8"/>
        <v>1367571.98</v>
      </c>
      <c r="D38" s="120">
        <f>SUMIFS('Unos prihoda i primitaka'!$I$3:$I$500,'Unos prihoda i primitaka'!$C$3:$C$500,"=11",'Unos prihoda i primitaka'!$L$3:$L$500,"=63")</f>
        <v>0</v>
      </c>
      <c r="E38" s="120">
        <f>SUMIFS('Unos prihoda i primitaka'!$I$3:$I$500,'Unos prihoda i primitaka'!$C$3:$C$500,"=12",'Unos prihoda i primitaka'!$L$3:$L$500,"=63")</f>
        <v>0</v>
      </c>
      <c r="F38" s="120">
        <f>SUMIFS('Unos prihoda i primitaka'!$I$3:$I$500,'Unos prihoda i primitaka'!$C$3:$C$500,"=31",'Unos prihoda i primitaka'!$L$3:$L$500,"=63")</f>
        <v>0</v>
      </c>
      <c r="G38" s="120">
        <f>SUMIFS('Unos prihoda i primitaka'!$I$3:$I$500,'Unos prihoda i primitaka'!$C$3:$C$500,"=41",'Unos prihoda i primitaka'!$L$3:$L$500,"=63")</f>
        <v>0</v>
      </c>
      <c r="H38" s="120">
        <f>SUMIFS('Unos prihoda i primitaka'!$I$3:$I$500,'Unos prihoda i primitaka'!$C$3:$C$500,"=43",'Unos prihoda i primitaka'!$L$3:$L$500,"=63")</f>
        <v>0</v>
      </c>
      <c r="I38" s="120">
        <f>SUMIFS('Unos prihoda i primitaka'!$I$3:$I$500,'Unos prihoda i primitaka'!$C$3:$C$500,"=51",'Unos prihoda i primitaka'!$L$3:$L$500,"=63")</f>
        <v>0</v>
      </c>
      <c r="J38" s="120">
        <f>SUMIFS('Unos prihoda i primitaka'!$I$3:$I$500,'Unos prihoda i primitaka'!$C$3:$C$500,"=52",'Unos prihoda i primitaka'!$L$3:$L$500,"=63")</f>
        <v>83748.28</v>
      </c>
      <c r="K38" s="120">
        <f>SUMIFS('Unos prihoda i primitaka'!$I$3:$I$500,'Unos prihoda i primitaka'!$C$3:$C$500,"=552",'Unos prihoda i primitaka'!$L$3:$L$500,"=63")</f>
        <v>0</v>
      </c>
      <c r="L38" s="120">
        <f>SUMIFS('Unos prihoda i primitaka'!$I$3:$I$500,'Unos prihoda i primitaka'!$C$3:$C$500,"=559",'Unos prihoda i primitaka'!$L$3:$L$500,"=63")</f>
        <v>0</v>
      </c>
      <c r="M38" s="120">
        <f>SUMIFS('Unos prihoda i primitaka'!$I$3:$I$500,'Unos prihoda i primitaka'!$C$3:$C$500,"=561",'Unos prihoda i primitaka'!$L$3:$L$500,"=63")</f>
        <v>0</v>
      </c>
      <c r="N38" s="120">
        <f>SUMIFS('Unos prihoda i primitaka'!$I$3:$I$500,'Unos prihoda i primitaka'!$C$3:$C$500,"=563",'Unos prihoda i primitaka'!$L$3:$L$500,"=63")</f>
        <v>1283823.7</v>
      </c>
      <c r="O38" s="120">
        <f>SUMIFS('Unos prihoda i primitaka'!$I$3:$I$500,'Unos prihoda i primitaka'!$C$3:$C$500,"=573",'Unos prihoda i primitaka'!$L$3:$L$500,"=63")</f>
        <v>0</v>
      </c>
      <c r="P38" s="120">
        <f>SUMIFS('Unos prihoda i primitaka'!$I$3:$I$500,'Unos prihoda i primitaka'!$C$3:$C$500,"=575",'Unos prihoda i primitaka'!$L$3:$L$500,"=63")</f>
        <v>0</v>
      </c>
      <c r="Q38" s="120">
        <f>SUMIFS('Unos prihoda i primitaka'!$I$3:$I$500,'Unos prihoda i primitaka'!$C$3:$C$500,"=576",'Unos prihoda i primitaka'!$L$3:$L$500,"=63")</f>
        <v>0</v>
      </c>
      <c r="R38" s="120">
        <f>SUMIFS('Unos prihoda i primitaka'!$I$3:$I$500,'Unos prihoda i primitaka'!$C$3:$C$500,"=581",'Unos prihoda i primitaka'!$L$3:$L$500,"=63")</f>
        <v>0</v>
      </c>
      <c r="S38" s="120">
        <f>SUMIFS('Unos prihoda i primitaka'!$I$3:$I$500,'Unos prihoda i primitaka'!$C$3:$C$500,"=61",'Unos prihoda i primitaka'!$L$3:$L$500,"=63")</f>
        <v>0</v>
      </c>
      <c r="T38" s="120">
        <f>SUMIFS('Unos prihoda i primitaka'!$I$3:$I$500,'Unos prihoda i primitaka'!$C$3:$C$500,"=63",'Unos prihoda i primitaka'!$L$3:$L$500,"=63")</f>
        <v>0</v>
      </c>
      <c r="U38" s="120">
        <f>SUMIFS('Unos prihoda i primitaka'!$I$3:$I$500,'Unos prihoda i primitaka'!$C$3:$C$500,"=71",'Unos prihoda i primitaka'!$L$3:$L$500,"=63")</f>
        <v>0</v>
      </c>
    </row>
    <row r="39" spans="1:21" s="38" customFormat="1">
      <c r="A39" s="42" t="s">
        <v>5089</v>
      </c>
      <c r="B39" s="43" t="s">
        <v>5088</v>
      </c>
      <c r="C39" s="27">
        <f t="shared" si="8"/>
        <v>0</v>
      </c>
      <c r="D39" s="120">
        <f>SUMIFS('Unos prihoda i primitaka'!$I$3:$I$500,'Unos prihoda i primitaka'!$C$3:$C$500,"=11",'Unos prihoda i primitaka'!$L$3:$L$500,"=64")</f>
        <v>0</v>
      </c>
      <c r="E39" s="120">
        <f>SUMIFS('Unos prihoda i primitaka'!$I$3:$I$500,'Unos prihoda i primitaka'!$C$3:$C$500,"=12",'Unos prihoda i primitaka'!$L$3:$L$500,"=64")</f>
        <v>0</v>
      </c>
      <c r="F39" s="120">
        <f>SUMIFS('Unos prihoda i primitaka'!$I$3:$I$500,'Unos prihoda i primitaka'!$C$3:$C$500,"=31",'Unos prihoda i primitaka'!$L$3:$L$500,"=64")</f>
        <v>0</v>
      </c>
      <c r="G39" s="120">
        <f>SUMIFS('Unos prihoda i primitaka'!$I$3:$I$500,'Unos prihoda i primitaka'!$C$3:$C$500,"=41",'Unos prihoda i primitaka'!$L$3:$L$500,"=64")</f>
        <v>0</v>
      </c>
      <c r="H39" s="120">
        <f>SUMIFS('Unos prihoda i primitaka'!$I$3:$I$500,'Unos prihoda i primitaka'!$C$3:$C$500,"=43",'Unos prihoda i primitaka'!$L$3:$L$500,"=64")</f>
        <v>0</v>
      </c>
      <c r="I39" s="120">
        <f>SUMIFS('Unos prihoda i primitaka'!$I$3:$I$500,'Unos prihoda i primitaka'!$C$3:$C$500,"=51",'Unos prihoda i primitaka'!$L$3:$L$500,"=64")</f>
        <v>0</v>
      </c>
      <c r="J39" s="120">
        <f>SUMIFS('Unos prihoda i primitaka'!$I$3:$I$500,'Unos prihoda i primitaka'!$C$3:$C$500,"=52",'Unos prihoda i primitaka'!$L$3:$L$500,"=64")</f>
        <v>0</v>
      </c>
      <c r="K39" s="120">
        <f>SUMIFS('Unos prihoda i primitaka'!$I$3:$I$500,'Unos prihoda i primitaka'!$C$3:$C$500,"=552",'Unos prihoda i primitaka'!$L$3:$L$500,"=64")</f>
        <v>0</v>
      </c>
      <c r="L39" s="120">
        <f>SUMIFS('Unos prihoda i primitaka'!$I$3:$I$500,'Unos prihoda i primitaka'!$C$3:$C$500,"=559",'Unos prihoda i primitaka'!$L$3:$L$500,"=64")</f>
        <v>0</v>
      </c>
      <c r="M39" s="120">
        <f>SUMIFS('Unos prihoda i primitaka'!$I$3:$I$500,'Unos prihoda i primitaka'!$C$3:$C$500,"=561",'Unos prihoda i primitaka'!$L$3:$L$500,"=64")</f>
        <v>0</v>
      </c>
      <c r="N39" s="120">
        <f>SUMIFS('Unos prihoda i primitaka'!$I$3:$I$500,'Unos prihoda i primitaka'!$C$3:$C$500,"=563",'Unos prihoda i primitaka'!$L$3:$L$500,"=64")</f>
        <v>0</v>
      </c>
      <c r="O39" s="120">
        <f>SUMIFS('Unos prihoda i primitaka'!$I$3:$I$500,'Unos prihoda i primitaka'!$C$3:$C$500,"=573",'Unos prihoda i primitaka'!$L$3:$L$500,"=64")</f>
        <v>0</v>
      </c>
      <c r="P39" s="120">
        <f>SUMIFS('Unos prihoda i primitaka'!$I$3:$I$500,'Unos prihoda i primitaka'!$C$3:$C$500,"=575",'Unos prihoda i primitaka'!$L$3:$L$500,"=64")</f>
        <v>0</v>
      </c>
      <c r="Q39" s="120">
        <f>SUMIFS('Unos prihoda i primitaka'!$I$3:$I$500,'Unos prihoda i primitaka'!$C$3:$C$500,"=576",'Unos prihoda i primitaka'!$L$3:$L$500,"=64")</f>
        <v>0</v>
      </c>
      <c r="R39" s="120">
        <f>SUMIFS('Unos prihoda i primitaka'!$I$3:$I$500,'Unos prihoda i primitaka'!$C$3:$C$500,"=581",'Unos prihoda i primitaka'!$L$3:$L$500,"=64")</f>
        <v>0</v>
      </c>
      <c r="S39" s="120">
        <f>SUMIFS('Unos prihoda i primitaka'!$I$3:$I$500,'Unos prihoda i primitaka'!$C$3:$C$500,"=61",'Unos prihoda i primitaka'!$L$3:$L$500,"=64")</f>
        <v>0</v>
      </c>
      <c r="T39" s="120">
        <f>SUMIFS('Unos prihoda i primitaka'!$I$3:$I$500,'Unos prihoda i primitaka'!$C$3:$C$500,"=63",'Unos prihoda i primitaka'!$L$3:$L$500,"=64")</f>
        <v>0</v>
      </c>
      <c r="U39" s="120">
        <f>SUMIFS('Unos prihoda i primitaka'!$I$3:$I$500,'Unos prihoda i primitaka'!$C$3:$C$500,"=71",'Unos prihoda i primitaka'!$L$3:$L$500,"=64")</f>
        <v>0</v>
      </c>
    </row>
    <row r="40" spans="1:21" s="38" customFormat="1" ht="25.5">
      <c r="A40" s="42" t="s">
        <v>5090</v>
      </c>
      <c r="B40" s="43" t="s">
        <v>5091</v>
      </c>
      <c r="C40" s="27">
        <f t="shared" si="8"/>
        <v>131679.96</v>
      </c>
      <c r="D40" s="120">
        <f>SUMIFS('Unos prihoda i primitaka'!$I$3:$I$500,'Unos prihoda i primitaka'!$C$3:$C$500,"=11",'Unos prihoda i primitaka'!$L$3:$L$500,"=65")</f>
        <v>0</v>
      </c>
      <c r="E40" s="120">
        <f>SUMIFS('Unos prihoda i primitaka'!$I$3:$I$500,'Unos prihoda i primitaka'!$C$3:$C$500,"=12",'Unos prihoda i primitaka'!$L$3:$L$500,"=65")</f>
        <v>0</v>
      </c>
      <c r="F40" s="120">
        <f>SUMIFS('Unos prihoda i primitaka'!$I$3:$I$500,'Unos prihoda i primitaka'!$C$3:$C$500,"=31",'Unos prihoda i primitaka'!$L$3:$L$500,"=65")</f>
        <v>0</v>
      </c>
      <c r="G40" s="120">
        <f>SUMIFS('Unos prihoda i primitaka'!$I$3:$I$500,'Unos prihoda i primitaka'!$C$3:$C$500,"=41",'Unos prihoda i primitaka'!$L$3:$L$500,"=65")</f>
        <v>0</v>
      </c>
      <c r="H40" s="120">
        <f>SUMIFS('Unos prihoda i primitaka'!$I$3:$I$500,'Unos prihoda i primitaka'!$C$3:$C$500,"=43",'Unos prihoda i primitaka'!$L$3:$L$500,"=65")</f>
        <v>131679.96</v>
      </c>
      <c r="I40" s="120">
        <f>SUMIFS('Unos prihoda i primitaka'!$I$3:$I$500,'Unos prihoda i primitaka'!$C$3:$C$500,"=51",'Unos prihoda i primitaka'!$L$3:$L$500,"=65")</f>
        <v>0</v>
      </c>
      <c r="J40" s="120">
        <f>SUMIFS('Unos prihoda i primitaka'!$I$3:$I$500,'Unos prihoda i primitaka'!$C$3:$C$500,"=52",'Unos prihoda i primitaka'!$L$3:$L$500,"=65")</f>
        <v>0</v>
      </c>
      <c r="K40" s="120">
        <f>SUMIFS('Unos prihoda i primitaka'!$I$3:$I$500,'Unos prihoda i primitaka'!$C$3:$C$500,"=552",'Unos prihoda i primitaka'!$L$3:$L$500,"=65")</f>
        <v>0</v>
      </c>
      <c r="L40" s="120">
        <f>SUMIFS('Unos prihoda i primitaka'!$I$3:$I$500,'Unos prihoda i primitaka'!$C$3:$C$500,"=559",'Unos prihoda i primitaka'!$L$3:$L$500,"=65")</f>
        <v>0</v>
      </c>
      <c r="M40" s="120">
        <f>SUMIFS('Unos prihoda i primitaka'!$I$3:$I$500,'Unos prihoda i primitaka'!$C$3:$C$500,"=561",'Unos prihoda i primitaka'!$L$3:$L$500,"=65")</f>
        <v>0</v>
      </c>
      <c r="N40" s="120">
        <f>SUMIFS('Unos prihoda i primitaka'!$I$3:$I$500,'Unos prihoda i primitaka'!$C$3:$C$500,"=563",'Unos prihoda i primitaka'!$L$3:$L$500,"=65")</f>
        <v>0</v>
      </c>
      <c r="O40" s="120">
        <f>SUMIFS('Unos prihoda i primitaka'!$I$3:$I$500,'Unos prihoda i primitaka'!$C$3:$C$500,"=573",'Unos prihoda i primitaka'!$L$3:$L$500,"=65")</f>
        <v>0</v>
      </c>
      <c r="P40" s="120">
        <f>SUMIFS('Unos prihoda i primitaka'!$I$3:$I$500,'Unos prihoda i primitaka'!$C$3:$C$500,"=575",'Unos prihoda i primitaka'!$L$3:$L$500,"=65")</f>
        <v>0</v>
      </c>
      <c r="Q40" s="120">
        <f>SUMIFS('Unos prihoda i primitaka'!$I$3:$I$500,'Unos prihoda i primitaka'!$C$3:$C$500,"=576",'Unos prihoda i primitaka'!$L$3:$L$500,"=65")</f>
        <v>0</v>
      </c>
      <c r="R40" s="120">
        <f>SUMIFS('Unos prihoda i primitaka'!$I$3:$I$500,'Unos prihoda i primitaka'!$C$3:$C$500,"=581",'Unos prihoda i primitaka'!$L$3:$L$500,"=65")</f>
        <v>0</v>
      </c>
      <c r="S40" s="120">
        <f>SUMIFS('Unos prihoda i primitaka'!$I$3:$I$500,'Unos prihoda i primitaka'!$C$3:$C$500,"=61",'Unos prihoda i primitaka'!$L$3:$L$500,"=65")</f>
        <v>0</v>
      </c>
      <c r="T40" s="120">
        <f>SUMIFS('Unos prihoda i primitaka'!$I$3:$I$500,'Unos prihoda i primitaka'!$C$3:$C$500,"=63",'Unos prihoda i primitaka'!$L$3:$L$500,"=65")</f>
        <v>0</v>
      </c>
      <c r="U40" s="120">
        <f>SUMIFS('Unos prihoda i primitaka'!$I$3:$I$500,'Unos prihoda i primitaka'!$C$3:$C$500,"=71",'Unos prihoda i primitaka'!$L$3:$L$500,"=65")</f>
        <v>0</v>
      </c>
    </row>
    <row r="41" spans="1:21" s="38" customFormat="1" ht="25.5">
      <c r="A41" s="138" t="s">
        <v>5093</v>
      </c>
      <c r="B41" s="43" t="s">
        <v>5092</v>
      </c>
      <c r="C41" s="27">
        <f t="shared" si="8"/>
        <v>189516.68</v>
      </c>
      <c r="D41" s="120">
        <f>SUMIFS('Unos prihoda i primitaka'!$I$3:$I$500,'Unos prihoda i primitaka'!$C$3:$C$500,"=11",'Unos prihoda i primitaka'!$L$3:$L$500,"=66")</f>
        <v>0</v>
      </c>
      <c r="E41" s="120">
        <f>SUMIFS('Unos prihoda i primitaka'!$I$3:$I$500,'Unos prihoda i primitaka'!$C$3:$C$500,"=12",'Unos prihoda i primitaka'!$L$3:$L$500,"=66")</f>
        <v>0</v>
      </c>
      <c r="F41" s="120">
        <f>SUMIFS('Unos prihoda i primitaka'!$I$3:$I$500,'Unos prihoda i primitaka'!$C$3:$C$500,"=31",'Unos prihoda i primitaka'!$L$3:$L$500,"=66")</f>
        <v>12187.66</v>
      </c>
      <c r="G41" s="120">
        <f>SUMIFS('Unos prihoda i primitaka'!$I$3:$I$500,'Unos prihoda i primitaka'!$C$3:$C$500,"=41",'Unos prihoda i primitaka'!$L$3:$L$500,"=66")</f>
        <v>0</v>
      </c>
      <c r="H41" s="120">
        <f>SUMIFS('Unos prihoda i primitaka'!$I$3:$I$500,'Unos prihoda i primitaka'!$C$3:$C$500,"=43",'Unos prihoda i primitaka'!$L$3:$L$500,"=66")</f>
        <v>0</v>
      </c>
      <c r="I41" s="120">
        <f>SUMIFS('Unos prihoda i primitaka'!$I$3:$I$500,'Unos prihoda i primitaka'!$C$3:$C$500,"=51",'Unos prihoda i primitaka'!$L$3:$L$500,"=66")</f>
        <v>0</v>
      </c>
      <c r="J41" s="120">
        <f>SUMIFS('Unos prihoda i primitaka'!$I$3:$I$500,'Unos prihoda i primitaka'!$C$3:$C$500,"=52",'Unos prihoda i primitaka'!$L$3:$L$500,"=66")</f>
        <v>0</v>
      </c>
      <c r="K41" s="120">
        <f>SUMIFS('Unos prihoda i primitaka'!$I$3:$I$500,'Unos prihoda i primitaka'!$C$3:$C$500,"=552",'Unos prihoda i primitaka'!$L$3:$L$500,"=66")</f>
        <v>0</v>
      </c>
      <c r="L41" s="120">
        <f>SUMIFS('Unos prihoda i primitaka'!$I$3:$I$500,'Unos prihoda i primitaka'!$C$3:$C$500,"=559",'Unos prihoda i primitaka'!$L$3:$L$500,"=66")</f>
        <v>0</v>
      </c>
      <c r="M41" s="120">
        <f>SUMIFS('Unos prihoda i primitaka'!$I$3:$I$500,'Unos prihoda i primitaka'!$C$3:$C$500,"=561",'Unos prihoda i primitaka'!$L$3:$L$500,"=66")</f>
        <v>0</v>
      </c>
      <c r="N41" s="120">
        <f>SUMIFS('Unos prihoda i primitaka'!$I$3:$I$500,'Unos prihoda i primitaka'!$C$3:$C$500,"=563",'Unos prihoda i primitaka'!$L$3:$L$500,"=66")</f>
        <v>0</v>
      </c>
      <c r="O41" s="120">
        <f>SUMIFS('Unos prihoda i primitaka'!$I$3:$I$500,'Unos prihoda i primitaka'!$C$3:$C$500,"=573",'Unos prihoda i primitaka'!$L$3:$L$500,"=66")</f>
        <v>0</v>
      </c>
      <c r="P41" s="120">
        <f>SUMIFS('Unos prihoda i primitaka'!$I$3:$I$500,'Unos prihoda i primitaka'!$C$3:$C$500,"=575",'Unos prihoda i primitaka'!$L$3:$L$500,"=66")</f>
        <v>0</v>
      </c>
      <c r="Q41" s="120">
        <f>SUMIFS('Unos prihoda i primitaka'!$I$3:$I$500,'Unos prihoda i primitaka'!$C$3:$C$500,"=576",'Unos prihoda i primitaka'!$L$3:$L$500,"=66")</f>
        <v>0</v>
      </c>
      <c r="R41" s="120">
        <f>SUMIFS('Unos prihoda i primitaka'!$I$3:$I$500,'Unos prihoda i primitaka'!$C$3:$C$500,"=581",'Unos prihoda i primitaka'!$L$3:$L$500,"=66")</f>
        <v>0</v>
      </c>
      <c r="S41" s="120">
        <f>SUMIFS('Unos prihoda i primitaka'!$I$3:$I$500,'Unos prihoda i primitaka'!$C$3:$C$500,"=61",'Unos prihoda i primitaka'!$L$3:$L$500,"=66")</f>
        <v>177329.02</v>
      </c>
      <c r="T41" s="120">
        <f>SUMIFS('Unos prihoda i primitaka'!$I$3:$I$500,'Unos prihoda i primitaka'!$C$3:$C$500,"=63",'Unos prihoda i primitaka'!$L$3:$L$500,"=66")</f>
        <v>0</v>
      </c>
      <c r="U41" s="120">
        <f>SUMIFS('Unos prihoda i primitaka'!$I$3:$I$500,'Unos prihoda i primitaka'!$C$3:$C$500,"=71",'Unos prihoda i primitaka'!$L$3:$L$500,"=66")</f>
        <v>0</v>
      </c>
    </row>
    <row r="42" spans="1:21" s="38" customFormat="1">
      <c r="A42" s="42" t="s">
        <v>5096</v>
      </c>
      <c r="B42" s="43" t="s">
        <v>5105</v>
      </c>
      <c r="C42" s="27">
        <f t="shared" si="8"/>
        <v>701146.3</v>
      </c>
      <c r="D42" s="120">
        <f>SUMIFS('Unos prihoda i primitaka'!$I$3:$I$500,'Unos prihoda i primitaka'!$C$3:$C$500,"=11",'Unos prihoda i primitaka'!$L$3:$L$500,"=67")</f>
        <v>701146.3</v>
      </c>
      <c r="E42" s="120">
        <f>SUMIFS('Unos prihoda i primitaka'!$I$3:$I$500,'Unos prihoda i primitaka'!$C$3:$C$500,"=12",'Unos prihoda i primitaka'!$L$3:$L$500,"=67")</f>
        <v>0</v>
      </c>
      <c r="F42" s="120">
        <f>SUMIFS('Unos prihoda i primitaka'!$I$3:$I$500,'Unos prihoda i primitaka'!$C$3:$C$500,"=31",'Unos prihoda i primitaka'!$L$3:$L$500,"=67")</f>
        <v>0</v>
      </c>
      <c r="G42" s="120">
        <f>SUMIFS('Unos prihoda i primitaka'!$I$3:$I$500,'Unos prihoda i primitaka'!$C$3:$C$500,"=41",'Unos prihoda i primitaka'!$L$3:$L$500,"=67")</f>
        <v>0</v>
      </c>
      <c r="H42" s="120">
        <f>SUMIFS('Unos prihoda i primitaka'!$I$3:$I$500,'Unos prihoda i primitaka'!$C$3:$C$500,"=43",'Unos prihoda i primitaka'!$L$3:$L$500,"=67")</f>
        <v>0</v>
      </c>
      <c r="I42" s="120">
        <f>SUMIFS('Unos prihoda i primitaka'!$I$3:$I$500,'Unos prihoda i primitaka'!$C$3:$C$500,"=51",'Unos prihoda i primitaka'!$L$3:$L$500,"=67")</f>
        <v>0</v>
      </c>
      <c r="J42" s="120">
        <f>SUMIFS('Unos prihoda i primitaka'!$I$3:$I$500,'Unos prihoda i primitaka'!$C$3:$C$500,"=52",'Unos prihoda i primitaka'!$L$3:$L$500,"=67")</f>
        <v>0</v>
      </c>
      <c r="K42" s="120">
        <f>SUMIFS('Unos prihoda i primitaka'!$I$3:$I$500,'Unos prihoda i primitaka'!$C$3:$C$500,"=552",'Unos prihoda i primitaka'!$L$3:$L$500,"=67")</f>
        <v>0</v>
      </c>
      <c r="L42" s="120">
        <f>SUMIFS('Unos prihoda i primitaka'!$I$3:$I$500,'Unos prihoda i primitaka'!$C$3:$C$500,"=559",'Unos prihoda i primitaka'!$L$3:$L$500,"=67")</f>
        <v>0</v>
      </c>
      <c r="M42" s="120">
        <f>SUMIFS('Unos prihoda i primitaka'!$I$3:$I$500,'Unos prihoda i primitaka'!$C$3:$C$500,"=561",'Unos prihoda i primitaka'!$L$3:$L$500,"=67")</f>
        <v>0</v>
      </c>
      <c r="N42" s="120">
        <f>SUMIFS('Unos prihoda i primitaka'!$I$3:$I$500,'Unos prihoda i primitaka'!$C$3:$C$500,"=563",'Unos prihoda i primitaka'!$L$3:$L$500,"=67")</f>
        <v>0</v>
      </c>
      <c r="O42" s="120">
        <f>SUMIFS('Unos prihoda i primitaka'!$I$3:$I$500,'Unos prihoda i primitaka'!$C$3:$C$500,"=573",'Unos prihoda i primitaka'!$L$3:$L$500,"=67")</f>
        <v>0</v>
      </c>
      <c r="P42" s="120">
        <f>SUMIFS('Unos prihoda i primitaka'!$I$3:$I$500,'Unos prihoda i primitaka'!$C$3:$C$500,"=575",'Unos prihoda i primitaka'!$L$3:$L$500,"=67")</f>
        <v>0</v>
      </c>
      <c r="Q42" s="120">
        <f>SUMIFS('Unos prihoda i primitaka'!$I$3:$I$500,'Unos prihoda i primitaka'!$C$3:$C$500,"=576",'Unos prihoda i primitaka'!$L$3:$L$500,"=67")</f>
        <v>0</v>
      </c>
      <c r="R42" s="120">
        <f>SUMIFS('Unos prihoda i primitaka'!$I$3:$I$500,'Unos prihoda i primitaka'!$C$3:$C$500,"=581",'Unos prihoda i primitaka'!$L$3:$L$500,"=67")</f>
        <v>0</v>
      </c>
      <c r="S42" s="120">
        <f>SUMIFS('Unos prihoda i primitaka'!$I$3:$I$500,'Unos prihoda i primitaka'!$C$3:$C$500,"=61",'Unos prihoda i primitaka'!$L$3:$L$500,"=67")</f>
        <v>0</v>
      </c>
      <c r="T42" s="120">
        <f>SUMIFS('Unos prihoda i primitaka'!$I$3:$I$500,'Unos prihoda i primitaka'!$C$3:$C$500,"=63",'Unos prihoda i primitaka'!$L$3:$L$500,"=67")</f>
        <v>0</v>
      </c>
      <c r="U42" s="120">
        <f>SUMIFS('Unos prihoda i primitaka'!$I$3:$I$500,'Unos prihoda i primitaka'!$C$3:$C$500,"=71",'Unos prihoda i primitaka'!$L$3:$L$500,"=67")</f>
        <v>0</v>
      </c>
    </row>
    <row r="43" spans="1:21" s="38" customFormat="1">
      <c r="A43" s="42" t="s">
        <v>5095</v>
      </c>
      <c r="B43" s="43" t="s">
        <v>5094</v>
      </c>
      <c r="C43" s="27">
        <f t="shared" si="8"/>
        <v>0</v>
      </c>
      <c r="D43" s="120">
        <f>SUMIFS('Unos prihoda i primitaka'!$I$3:$I$500,'Unos prihoda i primitaka'!$C$3:$C$500,"=11",'Unos prihoda i primitaka'!$L$3:$L$500,"=68")</f>
        <v>0</v>
      </c>
      <c r="E43" s="120">
        <f>SUMIFS('Unos prihoda i primitaka'!$I$3:$I$500,'Unos prihoda i primitaka'!$C$3:$C$500,"=12",'Unos prihoda i primitaka'!$L$3:$L$500,"=68")</f>
        <v>0</v>
      </c>
      <c r="F43" s="120">
        <f>SUMIFS('Unos prihoda i primitaka'!$I$3:$I$500,'Unos prihoda i primitaka'!$C$3:$C$500,"=31",'Unos prihoda i primitaka'!$L$3:$L$500,"=68")</f>
        <v>0</v>
      </c>
      <c r="G43" s="120">
        <f>SUMIFS('Unos prihoda i primitaka'!$I$3:$I$500,'Unos prihoda i primitaka'!$C$3:$C$500,"=41",'Unos prihoda i primitaka'!$L$3:$L$500,"=68")</f>
        <v>0</v>
      </c>
      <c r="H43" s="120">
        <f>SUMIFS('Unos prihoda i primitaka'!$I$3:$I$500,'Unos prihoda i primitaka'!$C$3:$C$500,"=43",'Unos prihoda i primitaka'!$L$3:$L$500,"=68")</f>
        <v>0</v>
      </c>
      <c r="I43" s="120">
        <f>SUMIFS('Unos prihoda i primitaka'!$I$3:$I$500,'Unos prihoda i primitaka'!$C$3:$C$500,"=51",'Unos prihoda i primitaka'!$L$3:$L$500,"=68")</f>
        <v>0</v>
      </c>
      <c r="J43" s="120">
        <f>SUMIFS('Unos prihoda i primitaka'!$I$3:$I$500,'Unos prihoda i primitaka'!$C$3:$C$500,"=52",'Unos prihoda i primitaka'!$L$3:$L$500,"=68")</f>
        <v>0</v>
      </c>
      <c r="K43" s="120">
        <f>SUMIFS('Unos prihoda i primitaka'!$I$3:$I$500,'Unos prihoda i primitaka'!$C$3:$C$500,"=552",'Unos prihoda i primitaka'!$L$3:$L$500,"=68")</f>
        <v>0</v>
      </c>
      <c r="L43" s="120">
        <f>SUMIFS('Unos prihoda i primitaka'!$I$3:$I$500,'Unos prihoda i primitaka'!$C$3:$C$500,"=559",'Unos prihoda i primitaka'!$L$3:$L$500,"=68")</f>
        <v>0</v>
      </c>
      <c r="M43" s="120">
        <f>SUMIFS('Unos prihoda i primitaka'!$I$3:$I$500,'Unos prihoda i primitaka'!$C$3:$C$500,"=561",'Unos prihoda i primitaka'!$L$3:$L$500,"=68")</f>
        <v>0</v>
      </c>
      <c r="N43" s="120">
        <f>SUMIFS('Unos prihoda i primitaka'!$I$3:$I$500,'Unos prihoda i primitaka'!$C$3:$C$500,"=563",'Unos prihoda i primitaka'!$L$3:$L$500,"=68")</f>
        <v>0</v>
      </c>
      <c r="O43" s="120">
        <f>SUMIFS('Unos prihoda i primitaka'!$I$3:$I$500,'Unos prihoda i primitaka'!$C$3:$C$500,"=573",'Unos prihoda i primitaka'!$L$3:$L$500,"=68")</f>
        <v>0</v>
      </c>
      <c r="P43" s="120">
        <f>SUMIFS('Unos prihoda i primitaka'!$I$3:$I$500,'Unos prihoda i primitaka'!$C$3:$C$500,"=575",'Unos prihoda i primitaka'!$L$3:$L$500,"=68")</f>
        <v>0</v>
      </c>
      <c r="Q43" s="120">
        <f>SUMIFS('Unos prihoda i primitaka'!$I$3:$I$500,'Unos prihoda i primitaka'!$C$3:$C$500,"=576",'Unos prihoda i primitaka'!$L$3:$L$500,"=68")</f>
        <v>0</v>
      </c>
      <c r="R43" s="120">
        <f>SUMIFS('Unos prihoda i primitaka'!$I$3:$I$500,'Unos prihoda i primitaka'!$C$3:$C$500,"=581",'Unos prihoda i primitaka'!$L$3:$L$500,"=68")</f>
        <v>0</v>
      </c>
      <c r="S43" s="120">
        <f>SUMIFS('Unos prihoda i primitaka'!$I$3:$I$500,'Unos prihoda i primitaka'!$C$3:$C$500,"=61",'Unos prihoda i primitaka'!$L$3:$L$500,"=68")</f>
        <v>0</v>
      </c>
      <c r="T43" s="120">
        <f>SUMIFS('Unos prihoda i primitaka'!$I$3:$I$500,'Unos prihoda i primitaka'!$C$3:$C$500,"=63",'Unos prihoda i primitaka'!$L$3:$L$500,"=68")</f>
        <v>0</v>
      </c>
      <c r="U43" s="120">
        <f>SUMIFS('Unos prihoda i primitaka'!$I$3:$I$500,'Unos prihoda i primitaka'!$C$3:$C$500,"=71",'Unos prihoda i primitaka'!$L$3:$L$500,"=68")</f>
        <v>0</v>
      </c>
    </row>
    <row r="44" spans="1:21" s="38" customFormat="1">
      <c r="A44" s="45" t="s">
        <v>247</v>
      </c>
      <c r="B44" s="46" t="s">
        <v>248</v>
      </c>
      <c r="C44" s="27">
        <f t="shared" si="8"/>
        <v>2389914.92</v>
      </c>
      <c r="D44" s="3">
        <f t="shared" ref="D44:U44" si="10">SUM(D37:D43)</f>
        <v>701146.3</v>
      </c>
      <c r="E44" s="3">
        <f t="shared" si="10"/>
        <v>0</v>
      </c>
      <c r="F44" s="3">
        <f t="shared" si="10"/>
        <v>12187.66</v>
      </c>
      <c r="G44" s="3">
        <f t="shared" si="10"/>
        <v>0</v>
      </c>
      <c r="H44" s="3">
        <f t="shared" si="10"/>
        <v>131679.96</v>
      </c>
      <c r="I44" s="3">
        <f t="shared" si="10"/>
        <v>0</v>
      </c>
      <c r="J44" s="3">
        <f t="shared" si="10"/>
        <v>83748.28</v>
      </c>
      <c r="K44" s="3">
        <f t="shared" si="10"/>
        <v>0</v>
      </c>
      <c r="L44" s="3">
        <f t="shared" si="10"/>
        <v>0</v>
      </c>
      <c r="M44" s="3">
        <f t="shared" si="10"/>
        <v>0</v>
      </c>
      <c r="N44" s="3">
        <f t="shared" si="10"/>
        <v>1283823.7</v>
      </c>
      <c r="O44" s="3">
        <f t="shared" si="10"/>
        <v>0</v>
      </c>
      <c r="P44" s="3">
        <f t="shared" si="10"/>
        <v>0</v>
      </c>
      <c r="Q44" s="3">
        <f t="shared" si="10"/>
        <v>0</v>
      </c>
      <c r="R44" s="3">
        <f t="shared" si="10"/>
        <v>0</v>
      </c>
      <c r="S44" s="3">
        <f t="shared" si="10"/>
        <v>177329.02</v>
      </c>
      <c r="T44" s="3">
        <f t="shared" si="10"/>
        <v>0</v>
      </c>
      <c r="U44" s="3">
        <f t="shared" si="10"/>
        <v>0</v>
      </c>
    </row>
    <row r="45" spans="1:21" s="38" customFormat="1">
      <c r="A45" s="42" t="s">
        <v>5097</v>
      </c>
      <c r="B45" s="47" t="s">
        <v>5098</v>
      </c>
      <c r="C45" s="27">
        <f t="shared" si="8"/>
        <v>0</v>
      </c>
      <c r="D45" s="120">
        <f>SUMIFS('Unos prihoda i primitaka'!$I$3:$I$500,'Unos prihoda i primitaka'!$C$3:$C$500,"=11",'Unos prihoda i primitaka'!$L$3:$L$500,"=71")</f>
        <v>0</v>
      </c>
      <c r="E45" s="120">
        <f>SUMIFS('Unos prihoda i primitaka'!$I$3:$I$500,'Unos prihoda i primitaka'!$C$3:$C$500,"=12",'Unos prihoda i primitaka'!$L$3:$L$500,"=71")</f>
        <v>0</v>
      </c>
      <c r="F45" s="120">
        <f>SUMIFS('Unos prihoda i primitaka'!$I$3:$I$500,'Unos prihoda i primitaka'!$C$3:$C$500,"=31",'Unos prihoda i primitaka'!$L$3:$L$500,"=71")</f>
        <v>0</v>
      </c>
      <c r="G45" s="120">
        <f>SUMIFS('Unos prihoda i primitaka'!$I$3:$I$500,'Unos prihoda i primitaka'!$C$3:$C$500,"=41",'Unos prihoda i primitaka'!$L$3:$L$500,"=71")</f>
        <v>0</v>
      </c>
      <c r="H45" s="120">
        <f>SUMIFS('Unos prihoda i primitaka'!$I$3:$I$500,'Unos prihoda i primitaka'!$C$3:$C$500,"=43",'Unos prihoda i primitaka'!$L$3:$L$500,"=71")</f>
        <v>0</v>
      </c>
      <c r="I45" s="120">
        <f>SUMIFS('Unos prihoda i primitaka'!$I$3:$I$500,'Unos prihoda i primitaka'!$C$3:$C$500,"=51",'Unos prihoda i primitaka'!$L$3:$L$500,"=71")</f>
        <v>0</v>
      </c>
      <c r="J45" s="120">
        <f>SUMIFS('Unos prihoda i primitaka'!$I$3:$I$500,'Unos prihoda i primitaka'!$C$3:$C$500,"=52",'Unos prihoda i primitaka'!$L$3:$L$500,"=71")</f>
        <v>0</v>
      </c>
      <c r="K45" s="120">
        <f>SUMIFS('Unos prihoda i primitaka'!$I$3:$I$500,'Unos prihoda i primitaka'!$C$3:$C$500,"=552",'Unos prihoda i primitaka'!$L$3:$L$500,"=71")</f>
        <v>0</v>
      </c>
      <c r="L45" s="120">
        <f>SUMIFS('Unos prihoda i primitaka'!$I$3:$I$500,'Unos prihoda i primitaka'!$C$3:$C$500,"=559",'Unos prihoda i primitaka'!$L$3:$L$500,"=71")</f>
        <v>0</v>
      </c>
      <c r="M45" s="120">
        <f>SUMIFS('Unos prihoda i primitaka'!$I$3:$I$500,'Unos prihoda i primitaka'!$C$3:$C$500,"=561",'Unos prihoda i primitaka'!$L$3:$L$500,"=71")</f>
        <v>0</v>
      </c>
      <c r="N45" s="120">
        <f>SUMIFS('Unos prihoda i primitaka'!$I$3:$I$500,'Unos prihoda i primitaka'!$C$3:$C$500,"=563",'Unos prihoda i primitaka'!$L$3:$L$500,"=71")</f>
        <v>0</v>
      </c>
      <c r="O45" s="120">
        <f>SUMIFS('Unos prihoda i primitaka'!$I$3:$I$500,'Unos prihoda i primitaka'!$C$3:$C$500,"=573",'Unos prihoda i primitaka'!$L$3:$L$500,"=71")</f>
        <v>0</v>
      </c>
      <c r="P45" s="120">
        <f>SUMIFS('Unos prihoda i primitaka'!$I$3:$I$500,'Unos prihoda i primitaka'!$C$3:$C$500,"=575",'Unos prihoda i primitaka'!$L$3:$L$500,"=71")</f>
        <v>0</v>
      </c>
      <c r="Q45" s="120">
        <f>SUMIFS('Unos prihoda i primitaka'!$I$3:$I$500,'Unos prihoda i primitaka'!$C$3:$C$500,"=576",'Unos prihoda i primitaka'!$L$3:$L$500,"=71")</f>
        <v>0</v>
      </c>
      <c r="R45" s="120">
        <f>SUMIFS('Unos prihoda i primitaka'!$I$3:$I$500,'Unos prihoda i primitaka'!$C$3:$C$500,"=581",'Unos prihoda i primitaka'!$L$3:$L$500,"=71")</f>
        <v>0</v>
      </c>
      <c r="S45" s="120">
        <f>SUMIFS('Unos prihoda i primitaka'!$I$3:$I$500,'Unos prihoda i primitaka'!$C$3:$C$500,"=61",'Unos prihoda i primitaka'!$L$3:$L$500,"=71")</f>
        <v>0</v>
      </c>
      <c r="T45" s="120">
        <f>SUMIFS('Unos prihoda i primitaka'!$I$3:$I$500,'Unos prihoda i primitaka'!$C$3:$C$500,"=63",'Unos prihoda i primitaka'!$L$3:$L$500,"=71")</f>
        <v>0</v>
      </c>
      <c r="U45" s="120">
        <f>SUMIFS('Unos prihoda i primitaka'!$I$3:$I$500,'Unos prihoda i primitaka'!$C$3:$C$500,"=71",'Unos prihoda i primitaka'!$L$3:$L$500,"=71")</f>
        <v>0</v>
      </c>
    </row>
    <row r="46" spans="1:21" s="38" customFormat="1">
      <c r="A46" s="42" t="s">
        <v>5099</v>
      </c>
      <c r="B46" s="47" t="s">
        <v>5100</v>
      </c>
      <c r="C46" s="27">
        <f t="shared" si="8"/>
        <v>0</v>
      </c>
      <c r="D46" s="120">
        <f>SUMIFS('Unos prihoda i primitaka'!$I$3:$I$500,'Unos prihoda i primitaka'!$C$3:$C$500,"=11",'Unos prihoda i primitaka'!$L$3:$L$500,"=72")</f>
        <v>0</v>
      </c>
      <c r="E46" s="120">
        <f>SUMIFS('Unos prihoda i primitaka'!$I$3:$I$500,'Unos prihoda i primitaka'!$C$3:$C$500,"=12",'Unos prihoda i primitaka'!$L$3:$L$500,"=72")</f>
        <v>0</v>
      </c>
      <c r="F46" s="120">
        <f>SUMIFS('Unos prihoda i primitaka'!$I$3:$I$500,'Unos prihoda i primitaka'!$C$3:$C$500,"=31",'Unos prihoda i primitaka'!$L$3:$L$500,"=72")</f>
        <v>0</v>
      </c>
      <c r="G46" s="120">
        <f>SUMIFS('Unos prihoda i primitaka'!$I$3:$I$500,'Unos prihoda i primitaka'!$C$3:$C$500,"=41",'Unos prihoda i primitaka'!$L$3:$L$500,"=72")</f>
        <v>0</v>
      </c>
      <c r="H46" s="120">
        <f>SUMIFS('Unos prihoda i primitaka'!$I$3:$I$500,'Unos prihoda i primitaka'!$C$3:$C$500,"=43",'Unos prihoda i primitaka'!$L$3:$L$500,"=72")</f>
        <v>0</v>
      </c>
      <c r="I46" s="120">
        <f>SUMIFS('Unos prihoda i primitaka'!$I$3:$I$500,'Unos prihoda i primitaka'!$C$3:$C$500,"=51",'Unos prihoda i primitaka'!$L$3:$L$500,"=72")</f>
        <v>0</v>
      </c>
      <c r="J46" s="120">
        <f>SUMIFS('Unos prihoda i primitaka'!$I$3:$I$500,'Unos prihoda i primitaka'!$C$3:$C$500,"=52",'Unos prihoda i primitaka'!$L$3:$L$500,"=72")</f>
        <v>0</v>
      </c>
      <c r="K46" s="120">
        <f>SUMIFS('Unos prihoda i primitaka'!$I$3:$I$500,'Unos prihoda i primitaka'!$C$3:$C$500,"=552",'Unos prihoda i primitaka'!$L$3:$L$500,"=72")</f>
        <v>0</v>
      </c>
      <c r="L46" s="120">
        <f>SUMIFS('Unos prihoda i primitaka'!$I$3:$I$500,'Unos prihoda i primitaka'!$C$3:$C$500,"=559",'Unos prihoda i primitaka'!$L$3:$L$500,"=72")</f>
        <v>0</v>
      </c>
      <c r="M46" s="120">
        <f>SUMIFS('Unos prihoda i primitaka'!$I$3:$I$500,'Unos prihoda i primitaka'!$C$3:$C$500,"=561",'Unos prihoda i primitaka'!$L$3:$L$500,"=72")</f>
        <v>0</v>
      </c>
      <c r="N46" s="120">
        <f>SUMIFS('Unos prihoda i primitaka'!$I$3:$I$500,'Unos prihoda i primitaka'!$C$3:$C$500,"=563",'Unos prihoda i primitaka'!$L$3:$L$500,"=72")</f>
        <v>0</v>
      </c>
      <c r="O46" s="120">
        <f>SUMIFS('Unos prihoda i primitaka'!$I$3:$I$500,'Unos prihoda i primitaka'!$C$3:$C$500,"=573",'Unos prihoda i primitaka'!$L$3:$L$500,"=72")</f>
        <v>0</v>
      </c>
      <c r="P46" s="120">
        <f>SUMIFS('Unos prihoda i primitaka'!$I$3:$I$500,'Unos prihoda i primitaka'!$C$3:$C$500,"=575",'Unos prihoda i primitaka'!$L$3:$L$500,"=72")</f>
        <v>0</v>
      </c>
      <c r="Q46" s="120">
        <f>SUMIFS('Unos prihoda i primitaka'!$I$3:$I$500,'Unos prihoda i primitaka'!$C$3:$C$500,"=576",'Unos prihoda i primitaka'!$L$3:$L$500,"=72")</f>
        <v>0</v>
      </c>
      <c r="R46" s="120">
        <f>SUMIFS('Unos prihoda i primitaka'!$I$3:$I$500,'Unos prihoda i primitaka'!$C$3:$C$500,"=581",'Unos prihoda i primitaka'!$L$3:$L$500,"=72")</f>
        <v>0</v>
      </c>
      <c r="S46" s="120">
        <f>SUMIFS('Unos prihoda i primitaka'!$I$3:$I$500,'Unos prihoda i primitaka'!$C$3:$C$500,"=61",'Unos prihoda i primitaka'!$L$3:$L$500,"=72")</f>
        <v>0</v>
      </c>
      <c r="T46" s="120">
        <f>SUMIFS('Unos prihoda i primitaka'!$I$3:$I$500,'Unos prihoda i primitaka'!$C$3:$C$500,"=63",'Unos prihoda i primitaka'!$L$3:$L$500,"=72")</f>
        <v>0</v>
      </c>
      <c r="U46" s="120">
        <f>SUMIFS('Unos prihoda i primitaka'!$I$3:$I$500,'Unos prihoda i primitaka'!$C$3:$C$500,"=71",'Unos prihoda i primitaka'!$L$3:$L$500,"=72")</f>
        <v>0</v>
      </c>
    </row>
    <row r="47" spans="1:21" s="38" customFormat="1">
      <c r="A47" s="45" t="s">
        <v>249</v>
      </c>
      <c r="B47" s="46" t="s">
        <v>248</v>
      </c>
      <c r="C47" s="27">
        <f t="shared" si="8"/>
        <v>0</v>
      </c>
      <c r="D47" s="3">
        <f t="shared" ref="D47:U47" si="11">SUM(D45:D46)</f>
        <v>0</v>
      </c>
      <c r="E47" s="3">
        <f t="shared" si="11"/>
        <v>0</v>
      </c>
      <c r="F47" s="3">
        <f t="shared" si="11"/>
        <v>0</v>
      </c>
      <c r="G47" s="3">
        <f t="shared" si="11"/>
        <v>0</v>
      </c>
      <c r="H47" s="3">
        <f t="shared" si="11"/>
        <v>0</v>
      </c>
      <c r="I47" s="3">
        <f t="shared" si="11"/>
        <v>0</v>
      </c>
      <c r="J47" s="3">
        <f t="shared" si="11"/>
        <v>0</v>
      </c>
      <c r="K47" s="3">
        <f t="shared" si="11"/>
        <v>0</v>
      </c>
      <c r="L47" s="3">
        <f t="shared" si="11"/>
        <v>0</v>
      </c>
      <c r="M47" s="3">
        <f t="shared" si="11"/>
        <v>0</v>
      </c>
      <c r="N47" s="3">
        <f t="shared" si="11"/>
        <v>0</v>
      </c>
      <c r="O47" s="3">
        <f t="shared" si="11"/>
        <v>0</v>
      </c>
      <c r="P47" s="3">
        <f t="shared" si="11"/>
        <v>0</v>
      </c>
      <c r="Q47" s="3">
        <f t="shared" si="11"/>
        <v>0</v>
      </c>
      <c r="R47" s="3">
        <f t="shared" si="11"/>
        <v>0</v>
      </c>
      <c r="S47" s="3">
        <f t="shared" si="11"/>
        <v>0</v>
      </c>
      <c r="T47" s="3">
        <f t="shared" si="11"/>
        <v>0</v>
      </c>
      <c r="U47" s="3">
        <f t="shared" si="11"/>
        <v>0</v>
      </c>
    </row>
    <row r="48" spans="1:21">
      <c r="A48" s="20"/>
      <c r="B48" s="20"/>
      <c r="C48" s="20"/>
      <c r="D48" s="20"/>
      <c r="E48" s="20"/>
      <c r="F48" s="20"/>
      <c r="G48" s="2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39"/>
    </row>
    <row r="49" spans="1:17">
      <c r="F49" s="4"/>
      <c r="G49" s="4"/>
      <c r="H49" s="21"/>
      <c r="I49" s="52"/>
      <c r="J49" s="52"/>
      <c r="K49" s="52"/>
      <c r="L49" s="52"/>
      <c r="M49" s="52"/>
      <c r="N49" s="52"/>
      <c r="O49" s="52"/>
      <c r="P49" s="52"/>
      <c r="Q49" s="52"/>
    </row>
    <row r="50" spans="1:17">
      <c r="F50" s="4"/>
      <c r="G50" s="4"/>
      <c r="H50" s="53"/>
      <c r="I50" s="54"/>
      <c r="J50" s="54"/>
      <c r="K50" s="54"/>
      <c r="L50" s="54"/>
      <c r="M50" s="54"/>
      <c r="N50" s="54"/>
      <c r="O50" s="54"/>
      <c r="P50" s="54"/>
      <c r="Q50" s="54"/>
    </row>
    <row r="51" spans="1:17">
      <c r="A51" s="4"/>
      <c r="B51" s="4"/>
      <c r="C51" s="4"/>
      <c r="D51" s="4"/>
      <c r="E51" s="4"/>
      <c r="F51" s="4"/>
      <c r="G51" s="4"/>
      <c r="H51" s="22"/>
      <c r="I51" s="4"/>
      <c r="J51" s="4"/>
      <c r="K51" s="4"/>
      <c r="L51" s="4"/>
      <c r="M51" s="4"/>
      <c r="N51" s="4"/>
      <c r="O51" s="4"/>
      <c r="P51" s="4"/>
      <c r="Q51" s="4"/>
    </row>
    <row r="52" spans="1:17">
      <c r="A52" s="4"/>
      <c r="B52" s="4"/>
      <c r="C52" s="4"/>
      <c r="D52" s="4"/>
      <c r="E52" s="4"/>
      <c r="F52" s="4"/>
      <c r="G52" s="4"/>
      <c r="H52" s="22"/>
      <c r="I52" s="4"/>
      <c r="J52" s="4"/>
      <c r="K52" s="4"/>
      <c r="L52" s="4"/>
      <c r="M52" s="4"/>
      <c r="N52" s="4"/>
      <c r="O52" s="4"/>
      <c r="P52" s="4"/>
      <c r="Q52" s="4"/>
    </row>
    <row r="53" spans="1:17">
      <c r="A53" s="4"/>
      <c r="B53" s="4"/>
      <c r="C53" s="4"/>
      <c r="D53" s="4"/>
      <c r="E53" s="4"/>
      <c r="F53" s="4"/>
      <c r="G53" s="4"/>
      <c r="H53" s="22"/>
      <c r="I53" s="4"/>
      <c r="J53" s="4"/>
      <c r="K53" s="4"/>
      <c r="L53" s="4"/>
      <c r="M53" s="4"/>
      <c r="N53" s="4"/>
      <c r="O53" s="4"/>
      <c r="P53" s="4"/>
      <c r="Q53" s="4"/>
    </row>
    <row r="54" spans="1:17">
      <c r="A54" s="4"/>
      <c r="B54" s="4"/>
      <c r="C54" s="4"/>
      <c r="D54" s="4"/>
      <c r="E54" s="4"/>
      <c r="F54" s="4"/>
      <c r="G54" s="4"/>
    </row>
    <row r="55" spans="1:17">
      <c r="A55" s="4"/>
      <c r="B55" s="4"/>
      <c r="C55" s="4"/>
      <c r="D55" s="4"/>
      <c r="E55" s="4"/>
      <c r="F55" s="4"/>
      <c r="G55" s="4"/>
      <c r="H55" s="22"/>
      <c r="I55" s="4"/>
      <c r="J55" s="4"/>
      <c r="K55" s="4"/>
      <c r="L55" s="4"/>
      <c r="M55" s="4"/>
      <c r="N55" s="4"/>
      <c r="O55" s="4"/>
      <c r="P55" s="4"/>
      <c r="Q55" s="4"/>
    </row>
    <row r="56" spans="1:17">
      <c r="A56" s="4"/>
      <c r="B56" s="4"/>
      <c r="C56" s="4"/>
      <c r="D56" s="4"/>
      <c r="E56" s="4"/>
      <c r="F56" s="4"/>
      <c r="G56" s="4"/>
      <c r="H56" s="22"/>
      <c r="I56" s="24"/>
      <c r="J56" s="24"/>
      <c r="K56" s="24"/>
      <c r="L56" s="24"/>
      <c r="M56" s="24"/>
      <c r="N56" s="24"/>
      <c r="O56" s="24"/>
      <c r="P56" s="24"/>
      <c r="Q56" s="24"/>
    </row>
    <row r="57" spans="1:17">
      <c r="A57" s="4"/>
      <c r="B57" s="4"/>
      <c r="C57" s="4"/>
      <c r="D57" s="4"/>
      <c r="E57" s="4"/>
      <c r="F57" s="4"/>
      <c r="G57" s="4"/>
      <c r="H57" s="22"/>
      <c r="I57" s="4"/>
      <c r="J57" s="4"/>
      <c r="K57" s="4"/>
      <c r="L57" s="4"/>
      <c r="M57" s="4"/>
      <c r="N57" s="4"/>
      <c r="O57" s="4"/>
      <c r="P57" s="4"/>
      <c r="Q57" s="4"/>
    </row>
    <row r="58" spans="1:17">
      <c r="A58" s="4"/>
      <c r="B58" s="4"/>
      <c r="C58" s="4"/>
      <c r="D58" s="4"/>
      <c r="E58" s="4"/>
      <c r="F58" s="4"/>
      <c r="G58" s="4"/>
      <c r="H58" s="22"/>
      <c r="I58" s="55"/>
      <c r="J58" s="55"/>
      <c r="K58" s="55"/>
      <c r="L58" s="55"/>
      <c r="M58" s="55"/>
      <c r="N58" s="55"/>
      <c r="O58" s="55"/>
      <c r="P58" s="55"/>
      <c r="Q58" s="55"/>
    </row>
    <row r="59" spans="1:17">
      <c r="H59" s="53"/>
      <c r="I59" s="56"/>
      <c r="J59" s="56"/>
      <c r="K59" s="56"/>
      <c r="L59" s="56"/>
      <c r="M59" s="56"/>
      <c r="N59" s="56"/>
      <c r="O59" s="56"/>
      <c r="P59" s="56"/>
      <c r="Q59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733"/>
  <sheetViews>
    <sheetView showGridLines="0" zoomScale="130" zoomScaleNormal="130" zoomScaleSheetLayoutView="80" workbookViewId="0">
      <pane xSplit="1" ySplit="1" topLeftCell="B62" activePane="bottomRight" state="frozen"/>
      <selection pane="topRight" activeCell="B1" sqref="B1"/>
      <selection pane="bottomLeft" activeCell="A2" sqref="A2"/>
      <selection pane="bottomRight" activeCell="D80" sqref="D80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55" t="s">
        <v>5108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3048892.48</v>
      </c>
      <c r="D4" s="61">
        <f t="shared" ref="D4:V4" si="0">D5+D58</f>
        <v>1324819</v>
      </c>
      <c r="E4" s="61">
        <f t="shared" si="0"/>
        <v>0</v>
      </c>
      <c r="F4" s="61">
        <f t="shared" si="0"/>
        <v>2244.1899999999996</v>
      </c>
      <c r="G4" s="61">
        <f t="shared" si="0"/>
        <v>0</v>
      </c>
      <c r="H4" s="61">
        <f t="shared" si="0"/>
        <v>99967.48</v>
      </c>
      <c r="I4" s="61">
        <f t="shared" si="0"/>
        <v>56769.930000000008</v>
      </c>
      <c r="J4" s="61">
        <f t="shared" si="0"/>
        <v>279037.88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1264630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21424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949558.48</v>
      </c>
      <c r="D5" s="68">
        <f t="shared" ref="D5:V5" si="1">+D6+D13+D43+D48+D49+D52+D55</f>
        <v>533693</v>
      </c>
      <c r="E5" s="68">
        <f t="shared" si="1"/>
        <v>0</v>
      </c>
      <c r="F5" s="68">
        <f t="shared" si="1"/>
        <v>2244.1899999999996</v>
      </c>
      <c r="G5" s="68">
        <f t="shared" si="1"/>
        <v>0</v>
      </c>
      <c r="H5" s="68">
        <f t="shared" si="1"/>
        <v>99765.48</v>
      </c>
      <c r="I5" s="68">
        <f t="shared" si="1"/>
        <v>56769.930000000008</v>
      </c>
      <c r="J5" s="68">
        <f t="shared" si="1"/>
        <v>236415.88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20670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3">
        <v>31</v>
      </c>
      <c r="B6" s="8" t="s">
        <v>198</v>
      </c>
      <c r="C6" s="70">
        <f>SUM(D6:V6)</f>
        <v>604581.66999999993</v>
      </c>
      <c r="D6" s="74">
        <f>SUMIFS('Unos rashoda i izdataka'!$J$3:$J$575,'Unos rashoda i izdataka'!$C$3:$C$575,"=11",'Unos rashoda i izdataka'!$P$3:$P$575,"=31")+SUMIFS('Unos rashoda P4'!$H$3:$H$501,'Unos rashoda P4'!$A$3:$A$501,"=11",'Unos rashoda P4'!$S$3:$S$501,"=31")</f>
        <v>520994</v>
      </c>
      <c r="E6" s="74">
        <f>SUMIFS('Unos rashoda i izdataka'!$J$3:$J$575,'Unos rashoda i izdataka'!$C$3:$C$575,"=12",'Unos rashoda i izdataka'!$P$3:$P$575,"=31")+SUMIFS('Unos rashoda P4'!$H$3:$H$501,'Unos rashoda P4'!$A$3:$A$501,"=12",'Unos rashoda P4'!$S$3:$S$501,"=31")</f>
        <v>0</v>
      </c>
      <c r="F6" s="74">
        <f>SUMIFS('Unos rashoda i izdataka'!$J$3:$J$575,'Unos rashoda i izdataka'!$C$3:$C$575,"=31",'Unos rashoda i izdataka'!$P$3:$P$575,"=31")+SUMIFS('Unos rashoda P4'!$H$3:$H$501,'Unos rashoda P4'!$A$3:$A$501,"=31",'Unos rashoda P4'!$S$3:$S$501,"=31")</f>
        <v>331.81</v>
      </c>
      <c r="G6" s="74">
        <f>SUMIFS('Unos rashoda i izdataka'!$J$3:$J$575,'Unos rashoda i izdataka'!$C$3:$C$575,"=41",'Unos rashoda i izdataka'!$P$3:$P$575,"=31")+SUMIFS('Unos rashoda P4'!$H$3:$H$501,'Unos rashoda P4'!$A$3:$A$501,"=41",'Unos rashoda P4'!$S$3:$S$501,"=31")</f>
        <v>0</v>
      </c>
      <c r="H6" s="74">
        <f>SUMIFS('Unos rashoda i izdataka'!$J$3:$J$575,'Unos rashoda i izdataka'!$C$3:$C$575,"=43",'Unos rashoda i izdataka'!$P$3:$P$575,"=31")+SUMIFS('Unos rashoda P4'!$H$3:$H$501,'Unos rashoda P4'!$A$3:$A$501,"=43",'Unos rashoda P4'!$S$3:$S$501,"=31")</f>
        <v>50404.79</v>
      </c>
      <c r="I6" s="74">
        <f>SUMIFS('Unos rashoda i izdataka'!$J$3:$J$575,'Unos rashoda i izdataka'!$C$3:$C$575,"=51",'Unos rashoda i izdataka'!$P$3:$P$575,"=31")+SUMIFS('Unos rashoda P4'!$H$3:$H$501,'Unos rashoda P4'!$A$3:$A$501,"=51",'Unos rashoda P4'!$S$3:$S$501,"=31")</f>
        <v>5834.19</v>
      </c>
      <c r="J6" s="74">
        <f>SUMIFS('Unos rashoda i izdataka'!$J$3:$J$575,'Unos rashoda i izdataka'!$C$3:$C$575,"=52",'Unos rashoda i izdataka'!$P$3:$P$575,"=31")+SUMIFS('Unos rashoda P4'!$H$3:$H$501,'Unos rashoda P4'!$A$3:$A$501,"=52",'Unos rashoda P4'!$S$3:$S$501,"=31")</f>
        <v>15345.88</v>
      </c>
      <c r="K6" s="74">
        <f>SUMIFS('Unos rashoda i izdataka'!$J$3:$J$575,'Unos rashoda i izdataka'!$C$3:$C$575,"=552",'Unos rashoda i izdataka'!$P$3:$P$575,"=31")+SUMIFS('Unos rashoda P4'!$H$3:$H$501,'Unos rashoda P4'!$A$3:$A$501,"=552",'Unos rashoda P4'!$S$3:$S$501,"=31")</f>
        <v>0</v>
      </c>
      <c r="L6" s="74">
        <f>SUMIFS('Unos rashoda i izdataka'!$J$3:$J$575,'Unos rashoda i izdataka'!$C$3:$C$575,"=559",'Unos rashoda i izdataka'!$P$3:$P$575,"=31")+SUMIFS('Unos rashoda P4'!$H$3:$H$501,'Unos rashoda P4'!$A$3:$A$501,"=559",'Unos rashoda P4'!$S$3:$S$501,"=31")</f>
        <v>0</v>
      </c>
      <c r="M6" s="74">
        <f>SUMIFS('Unos rashoda i izdataka'!$J$3:$J$575,'Unos rashoda i izdataka'!$C$3:$C$575,"=561",'Unos rashoda i izdataka'!$P$3:$P$575,"=31")+SUMIFS('Unos rashoda P4'!$H$3:$H$501,'Unos rashoda P4'!$A$3:$A$501,"=561",'Unos rashoda P4'!$S$3:$S$501,"=31")</f>
        <v>0</v>
      </c>
      <c r="N6" s="74">
        <f>SUMIFS('Unos rashoda i izdataka'!$J$3:$J$575,'Unos rashoda i izdataka'!$C$3:$C$575,"=563",'Unos rashoda i izdataka'!$P$3:$P$575,"=31")+SUMIFS('Unos rashoda P4'!$H$3:$H$501,'Unos rashoda P4'!$A$3:$A$501,"=563",'Unos rashoda P4'!$S$3:$S$501,"=31")</f>
        <v>0</v>
      </c>
      <c r="O6" s="74">
        <f>SUMIFS('Unos rashoda i izdataka'!$J$3:$J$575,'Unos rashoda i izdataka'!$C$3:$C$575,"=573",'Unos rashoda i izdataka'!$P$3:$P$575,"=31")+SUMIFS('Unos rashoda P4'!$H$3:$H$501,'Unos rashoda P4'!$A$3:$A$501,"=573",'Unos rashoda P4'!$S$3:$S$501,"=31")</f>
        <v>0</v>
      </c>
      <c r="P6" s="74">
        <f>SUMIFS('Unos rashoda i izdataka'!$J$3:$J$575,'Unos rashoda i izdataka'!$C$3:$C$575,"=575",'Unos rashoda i izdataka'!$P$3:$P$575,"=31")+SUMIFS('Unos rashoda P4'!$H$3:$H$501,'Unos rashoda P4'!$A$3:$A$501,"=575",'Unos rashoda P4'!$S$3:$S$501,"=31")</f>
        <v>0</v>
      </c>
      <c r="Q6" s="74">
        <f>SUMIFS('Unos rashoda i izdataka'!$J$3:$J$575,'Unos rashoda i izdataka'!$Q$3:$Q$575,"=576",'Unos rashoda i izdataka'!$P$3:$P$575,"=31")+SUMIFS('Unos rashoda P4'!$H$3:$H$501,'Unos rashoda P4'!$A$3:$A$501,"=576",'Unos rashoda P4'!$S$3:$S$501,"=31")</f>
        <v>0</v>
      </c>
      <c r="R6" s="74">
        <f>SUMIFS('Unos rashoda i izdataka'!$J$3:$J$575,'Unos rashoda i izdataka'!$C$3:$C$575,"=581",'Unos rashoda i izdataka'!$P$3:$P$575,"=31")+SUMIFS('Unos rashoda P4'!$H$3:$H$501,'Unos rashoda P4'!$A$3:$A$501,"=581",'Unos rashoda P4'!$S$3:$S$501,"=31")</f>
        <v>0</v>
      </c>
      <c r="S6" s="74">
        <f>SUMIFS('Unos rashoda i izdataka'!$J$3:$J$575,'Unos rashoda i izdataka'!$C$3:$C$575,"=61",'Unos rashoda i izdataka'!$P$3:$P$575,"=31")+SUMIFS('Unos rashoda P4'!$H$3:$H$501,'Unos rashoda P4'!$A$3:$A$501,"=61",'Unos rashoda P4'!$S$3:$S$501,"=31")</f>
        <v>11671</v>
      </c>
      <c r="T6" s="74">
        <f>SUMIFS('Unos rashoda i izdataka'!$J$3:$J$575,'Unos rashoda i izdataka'!$C$3:$C$575,"=63",'Unos rashoda i izdataka'!$P$3:$P$575,"=31")+SUMIFS('Unos rashoda P4'!$H$3:$H$501,'Unos rashoda P4'!$A$3:$A$501,"=63",'Unos rashoda P4'!$S$3:$S$501,"=31")</f>
        <v>0</v>
      </c>
      <c r="U6" s="74">
        <f>SUMIFS('Unos rashoda i izdataka'!$J$3:$J$575,'Unos rashoda i izdataka'!$C$3:$C$575,"=71",'Unos rashoda i izdataka'!$P$3:$P$575,"=31")+SUMIFS('Unos rashoda P4'!$H$3:$H$501,'Unos rashoda P4'!$A$3:$A$501,"=71",'Unos rashoda P4'!$S$3:$S$501,"=31")</f>
        <v>0</v>
      </c>
      <c r="V6" s="74">
        <f>SUMIFS('Unos rashoda i izdataka'!$J$3:$J$575,'Unos rashoda i izdataka'!$C$3:$C$575,"=81",'Unos rashoda i izdataka'!$P$3:$P$575,"=31")+SUMIFS('Unos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3">
        <v>311</v>
      </c>
      <c r="B7" s="8" t="s">
        <v>5270</v>
      </c>
      <c r="C7" s="70">
        <f t="shared" ref="C7:C57" si="2">SUM(D7:V7)</f>
        <v>489552.97000000003</v>
      </c>
      <c r="D7" s="74">
        <f>SUM(D8)</f>
        <v>437190</v>
      </c>
      <c r="E7" s="74"/>
      <c r="F7" s="74"/>
      <c r="G7" s="74"/>
      <c r="H7" s="74">
        <f>SUM(H8)</f>
        <v>42548.08</v>
      </c>
      <c r="I7" s="74"/>
      <c r="J7" s="74">
        <f>SUM(J8)</f>
        <v>2662.89</v>
      </c>
      <c r="K7" s="74"/>
      <c r="L7" s="74"/>
      <c r="M7" s="74"/>
      <c r="N7" s="74"/>
      <c r="O7" s="74"/>
      <c r="P7" s="74"/>
      <c r="Q7" s="74"/>
      <c r="R7" s="74"/>
      <c r="S7" s="74">
        <f>SUM(S8)</f>
        <v>7152</v>
      </c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3">
        <v>3111</v>
      </c>
      <c r="B8" s="8" t="s">
        <v>47</v>
      </c>
      <c r="C8" s="70">
        <f t="shared" si="2"/>
        <v>489552.97000000003</v>
      </c>
      <c r="D8" s="74">
        <v>437190</v>
      </c>
      <c r="E8" s="74"/>
      <c r="F8" s="74"/>
      <c r="G8" s="74"/>
      <c r="H8" s="74">
        <v>42548.08</v>
      </c>
      <c r="I8" s="74"/>
      <c r="J8" s="74">
        <v>2662.89</v>
      </c>
      <c r="K8" s="74"/>
      <c r="L8" s="74"/>
      <c r="M8" s="74"/>
      <c r="N8" s="74"/>
      <c r="O8" s="74"/>
      <c r="P8" s="74"/>
      <c r="Q8" s="74"/>
      <c r="R8" s="74"/>
      <c r="S8" s="74">
        <v>7152</v>
      </c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3">
        <v>312</v>
      </c>
      <c r="B9" s="8" t="s">
        <v>50</v>
      </c>
      <c r="C9" s="70">
        <f t="shared" si="2"/>
        <v>32329.239999999998</v>
      </c>
      <c r="D9" s="74">
        <f>SUM(D10)</f>
        <v>10130</v>
      </c>
      <c r="E9" s="74"/>
      <c r="F9" s="74">
        <f>SUM(F10)</f>
        <v>331.81</v>
      </c>
      <c r="G9" s="74"/>
      <c r="H9" s="74">
        <f>SUM(H10)</f>
        <v>597.25</v>
      </c>
      <c r="I9" s="74">
        <f>SUM(I10)</f>
        <v>5834.19</v>
      </c>
      <c r="J9" s="74">
        <f>SUM(J10)</f>
        <v>12117.99</v>
      </c>
      <c r="K9" s="74"/>
      <c r="L9" s="74"/>
      <c r="M9" s="74"/>
      <c r="N9" s="74"/>
      <c r="O9" s="74"/>
      <c r="P9" s="74"/>
      <c r="Q9" s="74"/>
      <c r="R9" s="74"/>
      <c r="S9" s="74">
        <f>SUM(S10)</f>
        <v>3318</v>
      </c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3">
        <v>3121</v>
      </c>
      <c r="B10" s="8" t="s">
        <v>50</v>
      </c>
      <c r="C10" s="70">
        <f t="shared" si="2"/>
        <v>32329.239999999998</v>
      </c>
      <c r="D10" s="74">
        <v>10130</v>
      </c>
      <c r="E10" s="74"/>
      <c r="F10" s="74">
        <v>331.81</v>
      </c>
      <c r="G10" s="74"/>
      <c r="H10" s="74">
        <v>597.25</v>
      </c>
      <c r="I10" s="74">
        <v>5834.19</v>
      </c>
      <c r="J10" s="74">
        <v>12117.99</v>
      </c>
      <c r="K10" s="74"/>
      <c r="L10" s="74"/>
      <c r="M10" s="74"/>
      <c r="N10" s="74"/>
      <c r="O10" s="74"/>
      <c r="P10" s="74"/>
      <c r="Q10" s="74"/>
      <c r="R10" s="74"/>
      <c r="S10" s="74">
        <v>3318</v>
      </c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3">
        <v>313</v>
      </c>
      <c r="B11" s="8" t="s">
        <v>5271</v>
      </c>
      <c r="C11" s="70">
        <f t="shared" si="2"/>
        <v>82699.459999999992</v>
      </c>
      <c r="D11" s="74">
        <f>SUM(D12)</f>
        <v>73674</v>
      </c>
      <c r="E11" s="74"/>
      <c r="F11" s="74"/>
      <c r="G11" s="74"/>
      <c r="H11" s="74">
        <f>SUM(H12)</f>
        <v>7259.4599999999991</v>
      </c>
      <c r="I11" s="74"/>
      <c r="J11" s="74">
        <f>SUM(J12)</f>
        <v>565</v>
      </c>
      <c r="K11" s="74"/>
      <c r="L11" s="74"/>
      <c r="M11" s="74"/>
      <c r="N11" s="74"/>
      <c r="O11" s="74"/>
      <c r="P11" s="74"/>
      <c r="Q11" s="74"/>
      <c r="R11" s="74"/>
      <c r="S11" s="74">
        <f>SUM(S12)</f>
        <v>1201</v>
      </c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9" customFormat="1" ht="12.6" customHeight="1">
      <c r="A12" s="333">
        <v>3132</v>
      </c>
      <c r="B12" s="8" t="s">
        <v>51</v>
      </c>
      <c r="C12" s="70">
        <f t="shared" si="2"/>
        <v>82699.459999999992</v>
      </c>
      <c r="D12" s="74">
        <v>73674</v>
      </c>
      <c r="E12" s="74"/>
      <c r="F12" s="74"/>
      <c r="G12" s="74"/>
      <c r="H12" s="74">
        <v>7259.4599999999991</v>
      </c>
      <c r="I12" s="74"/>
      <c r="J12" s="74">
        <v>565</v>
      </c>
      <c r="K12" s="74"/>
      <c r="L12" s="74"/>
      <c r="M12" s="74"/>
      <c r="N12" s="74"/>
      <c r="O12" s="74"/>
      <c r="P12" s="74"/>
      <c r="Q12" s="74"/>
      <c r="R12" s="74"/>
      <c r="S12" s="74">
        <v>1201</v>
      </c>
      <c r="T12" s="74"/>
      <c r="U12" s="74"/>
      <c r="V12" s="74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4">
        <v>32</v>
      </c>
      <c r="B13" s="10" t="s">
        <v>199</v>
      </c>
      <c r="C13" s="70">
        <f t="shared" si="2"/>
        <v>221691.12</v>
      </c>
      <c r="D13" s="74">
        <f>SUMIFS('Unos rashoda i izdataka'!$J$3:$J$575,'Unos rashoda i izdataka'!$C$3:$C$575,"=11",'Unos rashoda i izdataka'!$P$3:$P$575,"=32")+SUMIFS('Unos rashoda P4'!$H$3:$H$501,'Unos rashoda P4'!$A$3:$A$501,"=11",'Unos rashoda P4'!$S$3:$S$501,"=32")</f>
        <v>12529</v>
      </c>
      <c r="E13" s="74">
        <f>SUMIFS('Unos rashoda i izdataka'!$J$3:$J$575,'Unos rashoda i izdataka'!$C$3:$C$575,"=12",'Unos rashoda i izdataka'!$P$3:$P$575,"=32")+SUMIFS('Unos rashoda P4'!$H$3:$H$501,'Unos rashoda P4'!$A$3:$A$501,"=12",'Unos rashoda P4'!$S$3:$S$501,"=32")</f>
        <v>0</v>
      </c>
      <c r="F13" s="74">
        <f>SUMIFS('Unos rashoda i izdataka'!$J$3:$J$575,'Unos rashoda i izdataka'!$C$3:$C$575,"=31",'Unos rashoda i izdataka'!$P$3:$P$575,"=32")+SUMIFS('Unos rashoda P4'!$H$3:$H$501,'Unos rashoda P4'!$A$3:$A$501,"=31",'Unos rashoda P4'!$S$3:$S$501,"=32")</f>
        <v>1393.33</v>
      </c>
      <c r="G13" s="74">
        <f>SUMIFS('Unos rashoda i izdataka'!$J$3:$J$575,'Unos rashoda i izdataka'!$C$3:$C$575,"=41",'Unos rashoda i izdataka'!$P$3:$P$575,"=32")+SUMIFS('Unos rashoda P4'!$H$3:$H$501,'Unos rashoda P4'!$A$3:$A$501,"=41",'Unos rashoda P4'!$S$3:$S$501,"=32")</f>
        <v>0</v>
      </c>
      <c r="H13" s="74">
        <f>SUMIFS('Unos rashoda i izdataka'!$J$3:$J$575,'Unos rashoda i izdataka'!$C$3:$C$575,"=43",'Unos rashoda i izdataka'!$P$3:$P$575,"=32")+SUMIFS('Unos rashoda P4'!$H$3:$H$501,'Unos rashoda P4'!$A$3:$A$501,"=43",'Unos rashoda P4'!$S$3:$S$501,"=32")</f>
        <v>47926.2</v>
      </c>
      <c r="I13" s="74">
        <f>SUMIFS('Unos rashoda i izdataka'!$J$3:$J$575,'Unos rashoda i izdataka'!$C$3:$C$575,"=51",'Unos rashoda i izdataka'!$P$3:$P$575,"=32")+SUMIFS('Unos rashoda P4'!$H$3:$H$501,'Unos rashoda P4'!$A$3:$A$501,"=51",'Unos rashoda P4'!$S$3:$S$501,"=32")</f>
        <v>42527.590000000004</v>
      </c>
      <c r="J13" s="74">
        <f>SUMIFS('Unos rashoda i izdataka'!$J$3:$J$575,'Unos rashoda i izdataka'!$C$3:$C$575,"=52",'Unos rashoda i izdataka'!$P$3:$P$575,"=32")+SUMIFS('Unos rashoda P4'!$H$3:$H$501,'Unos rashoda P4'!$A$3:$A$501,"=52",'Unos rashoda P4'!$S$3:$S$501,"=32")</f>
        <v>108847</v>
      </c>
      <c r="K13" s="74">
        <f>SUMIFS('Unos rashoda i izdataka'!$J$3:$J$575,'Unos rashoda i izdataka'!$C$3:$C$575,"=552",'Unos rashoda i izdataka'!$P$3:$P$575,"=32")+SUMIFS('Unos rashoda P4'!$H$3:$H$501,'Unos rashoda P4'!$A$3:$A$501,"=552",'Unos rashoda P4'!$S$3:$S$501,"=32")</f>
        <v>0</v>
      </c>
      <c r="L13" s="74">
        <f>SUMIFS('Unos rashoda i izdataka'!$J$3:$J$575,'Unos rashoda i izdataka'!$C$3:$C$575,"=559",'Unos rashoda i izdataka'!$P$3:$P$575,"=32")+SUMIFS('Unos rashoda P4'!$H$3:$H$501,'Unos rashoda P4'!$A$3:$A$501,"=559",'Unos rashoda P4'!$S$3:$S$501,"=32")</f>
        <v>0</v>
      </c>
      <c r="M13" s="74">
        <f>SUMIFS('Unos rashoda i izdataka'!$J$3:$J$575,'Unos rashoda i izdataka'!$C$3:$C$575,"=561",'Unos rashoda i izdataka'!$P$3:$P$575,"=32")+SUMIFS('Unos rashoda P4'!$H$3:$H$501,'Unos rashoda P4'!$A$3:$A$501,"=561",'Unos rashoda P4'!$S$3:$S$501,"=32")</f>
        <v>0</v>
      </c>
      <c r="N13" s="74">
        <f>SUMIFS('Unos rashoda i izdataka'!$J$3:$J$575,'Unos rashoda i izdataka'!$C$3:$C$575,"=563",'Unos rashoda i izdataka'!$P$3:$P$575,"=32")+SUMIFS('Unos rashoda P4'!$H$3:$H$501,'Unos rashoda P4'!$A$3:$A$501,"=563",'Unos rashoda P4'!$S$3:$S$501,"=32")</f>
        <v>0</v>
      </c>
      <c r="O13" s="74">
        <f>SUMIFS('Unos rashoda i izdataka'!$J$3:$J$575,'Unos rashoda i izdataka'!$C$3:$C$575,"=573",'Unos rashoda i izdataka'!$P$3:$P$575,"=32")+SUMIFS('Unos rashoda P4'!$H$3:$H$501,'Unos rashoda P4'!$A$3:$A$501,"=573",'Unos rashoda P4'!$S$3:$S$501,"=32")</f>
        <v>0</v>
      </c>
      <c r="P13" s="74">
        <f>SUMIFS('Unos rashoda i izdataka'!$J$3:$J$575,'Unos rashoda i izdataka'!$C$3:$C$575,"=575",'Unos rashoda i izdataka'!$P$3:$P$575,"=32")+SUMIFS('Unos rashoda P4'!$H$3:$H$501,'Unos rashoda P4'!$A$3:$A$501,"=575",'Unos rashoda P4'!$S$3:$S$501,"=32")</f>
        <v>0</v>
      </c>
      <c r="Q13" s="74">
        <f>SUMIFS('Unos rashoda i izdataka'!$J$3:$J$575,'Unos rashoda i izdataka'!$Q$3:$Q$575,"=576",'Unos rashoda i izdataka'!$P$3:$P$575,"=32")+SUMIFS('Unos rashoda P4'!$H$3:$H$501,'Unos rashoda P4'!$A$3:$A$501,"=576",'Unos rashoda P4'!$S$3:$S$501,"=32")</f>
        <v>0</v>
      </c>
      <c r="R13" s="74">
        <f>SUMIFS('Unos rashoda i izdataka'!$J$3:$J$575,'Unos rashoda i izdataka'!$C$3:$C$575,"=581",'Unos rashoda i izdataka'!$P$3:$P$575,"=32")+SUMIFS('Unos rashoda P4'!$H$3:$H$501,'Unos rashoda P4'!$A$3:$A$501,"=581",'Unos rashoda P4'!$S$3:$S$501,"=32")</f>
        <v>0</v>
      </c>
      <c r="S13" s="74">
        <f>SUMIFS('Unos rashoda i izdataka'!$J$3:$J$575,'Unos rashoda i izdataka'!$C$3:$C$575,"=61",'Unos rashoda i izdataka'!$P$3:$P$575,"=32")+SUMIFS('Unos rashoda P4'!$H$3:$H$501,'Unos rashoda P4'!$A$3:$A$501,"=61",'Unos rashoda P4'!$S$3:$S$501,"=32")</f>
        <v>8468</v>
      </c>
      <c r="T13" s="74">
        <f>SUMIFS('Unos rashoda i izdataka'!$J$3:$J$575,'Unos rashoda i izdataka'!$C$3:$C$575,"=63",'Unos rashoda i izdataka'!$P$3:$P$575,"=32")+SUMIFS('Unos rashoda P4'!$H$3:$H$501,'Unos rashoda P4'!$A$3:$A$501,"=63",'Unos rashoda P4'!$S$3:$S$501,"=32")</f>
        <v>0</v>
      </c>
      <c r="U13" s="74">
        <f>SUMIFS('Unos rashoda i izdataka'!$J$3:$J$575,'Unos rashoda i izdataka'!$C$3:$C$575,"=71",'Unos rashoda i izdataka'!$P$3:$P$575,"=32")+SUMIFS('Unos rashoda P4'!$H$3:$H$501,'Unos rashoda P4'!$A$3:$A$501,"=71",'Unos rashoda P4'!$S$3:$S$501,"=32")</f>
        <v>0</v>
      </c>
      <c r="V13" s="74">
        <f>SUMIFS('Unos rashoda i izdataka'!$J$3:$J$575,'Unos rashoda i izdataka'!$C$3:$C$575,"=81",'Unos rashoda i izdataka'!$P$3:$P$575,"=32")+SUMIFS('Unos rashoda P4'!$H$3:$H$501,'Unos rashoda P4'!$A$3:$A$501,"=81",'Unos rashoda P4'!$S$3:$S$501,"=32")</f>
        <v>0</v>
      </c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4">
        <v>321</v>
      </c>
      <c r="B14" s="10" t="s">
        <v>5272</v>
      </c>
      <c r="C14" s="70">
        <f t="shared" si="2"/>
        <v>37625</v>
      </c>
      <c r="D14" s="74">
        <f>SUM(D15:D18)</f>
        <v>8347</v>
      </c>
      <c r="E14" s="74"/>
      <c r="F14" s="74">
        <f>SUM(F15:F18)</f>
        <v>53.09</v>
      </c>
      <c r="G14" s="74"/>
      <c r="H14" s="74">
        <f>SUM(H15:H18)</f>
        <v>2768.1499999999996</v>
      </c>
      <c r="I14" s="74">
        <f>SUM(I15:I18)</f>
        <v>1399.7600000000002</v>
      </c>
      <c r="J14" s="74">
        <f>SUM(J15:J18)</f>
        <v>21426</v>
      </c>
      <c r="K14" s="74"/>
      <c r="L14" s="74"/>
      <c r="M14" s="74"/>
      <c r="N14" s="74"/>
      <c r="O14" s="74"/>
      <c r="P14" s="74"/>
      <c r="Q14" s="74"/>
      <c r="R14" s="74"/>
      <c r="S14" s="74">
        <f>SUM(S15:S18)</f>
        <v>3631</v>
      </c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4">
        <v>3211</v>
      </c>
      <c r="B15" s="10" t="s">
        <v>78</v>
      </c>
      <c r="C15" s="70">
        <f t="shared" si="2"/>
        <v>10294.07</v>
      </c>
      <c r="D15" s="74">
        <v>833</v>
      </c>
      <c r="E15" s="74"/>
      <c r="F15" s="74">
        <v>53.09</v>
      </c>
      <c r="G15" s="74"/>
      <c r="H15" s="74">
        <v>1362.86</v>
      </c>
      <c r="I15" s="74">
        <v>160.12</v>
      </c>
      <c r="J15" s="74">
        <v>5230</v>
      </c>
      <c r="K15" s="74"/>
      <c r="L15" s="74"/>
      <c r="M15" s="74"/>
      <c r="N15" s="74"/>
      <c r="O15" s="74"/>
      <c r="P15" s="74"/>
      <c r="Q15" s="74"/>
      <c r="R15" s="74"/>
      <c r="S15" s="74">
        <v>2655</v>
      </c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4">
        <v>3212</v>
      </c>
      <c r="B16" s="10" t="s">
        <v>52</v>
      </c>
      <c r="C16" s="70">
        <f t="shared" si="2"/>
        <v>9199.6899999999987</v>
      </c>
      <c r="D16" s="74">
        <v>7427</v>
      </c>
      <c r="E16" s="74"/>
      <c r="F16" s="74"/>
      <c r="G16" s="74"/>
      <c r="H16" s="74">
        <v>254.69</v>
      </c>
      <c r="I16" s="74"/>
      <c r="J16" s="74">
        <v>1107</v>
      </c>
      <c r="K16" s="74"/>
      <c r="L16" s="74"/>
      <c r="M16" s="74"/>
      <c r="N16" s="74"/>
      <c r="O16" s="74"/>
      <c r="P16" s="74"/>
      <c r="Q16" s="74"/>
      <c r="R16" s="74"/>
      <c r="S16" s="74">
        <v>411</v>
      </c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35" customFormat="1" ht="12.6" customHeight="1">
      <c r="A17" s="334">
        <v>3213</v>
      </c>
      <c r="B17" s="10" t="s">
        <v>97</v>
      </c>
      <c r="C17" s="70">
        <f t="shared" si="2"/>
        <v>17495.14</v>
      </c>
      <c r="D17" s="74"/>
      <c r="E17" s="74"/>
      <c r="F17" s="74"/>
      <c r="G17" s="74"/>
      <c r="H17" s="74">
        <v>677.63</v>
      </c>
      <c r="I17" s="74">
        <v>1194.51</v>
      </c>
      <c r="J17" s="74">
        <v>15058</v>
      </c>
      <c r="K17" s="74"/>
      <c r="L17" s="74"/>
      <c r="M17" s="74"/>
      <c r="N17" s="74"/>
      <c r="O17" s="74"/>
      <c r="P17" s="74"/>
      <c r="Q17" s="74"/>
      <c r="R17" s="74"/>
      <c r="S17" s="74">
        <v>565</v>
      </c>
      <c r="T17" s="74"/>
      <c r="U17" s="74"/>
      <c r="V17" s="74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35" customFormat="1" ht="12.6" customHeight="1">
      <c r="A18" s="334">
        <v>3214</v>
      </c>
      <c r="B18" s="10" t="s">
        <v>126</v>
      </c>
      <c r="C18" s="70">
        <f t="shared" si="2"/>
        <v>636.1</v>
      </c>
      <c r="D18" s="74">
        <v>87</v>
      </c>
      <c r="E18" s="74"/>
      <c r="F18" s="74"/>
      <c r="G18" s="74"/>
      <c r="H18" s="74">
        <v>472.97</v>
      </c>
      <c r="I18" s="74">
        <v>45.13</v>
      </c>
      <c r="J18" s="74">
        <v>31</v>
      </c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35" customFormat="1" ht="12.6" customHeight="1">
      <c r="A19" s="334">
        <v>322</v>
      </c>
      <c r="B19" s="10" t="s">
        <v>5279</v>
      </c>
      <c r="C19" s="70">
        <f t="shared" si="2"/>
        <v>24775.91</v>
      </c>
      <c r="D19" s="74"/>
      <c r="E19" s="74"/>
      <c r="F19" s="74">
        <f>SUM(F20:F23)</f>
        <v>961.24</v>
      </c>
      <c r="G19" s="74"/>
      <c r="H19" s="74">
        <f>SUM(H20:H23)</f>
        <v>6081.5499999999993</v>
      </c>
      <c r="I19" s="74">
        <f>SUM(I20:I23)</f>
        <v>5721.12</v>
      </c>
      <c r="J19" s="74">
        <f>SUM(J20:J23)</f>
        <v>10469</v>
      </c>
      <c r="K19" s="74"/>
      <c r="L19" s="74"/>
      <c r="M19" s="74"/>
      <c r="N19" s="74"/>
      <c r="O19" s="74"/>
      <c r="P19" s="74"/>
      <c r="Q19" s="74"/>
      <c r="R19" s="74"/>
      <c r="S19" s="74">
        <f>SUM(S20:S22)</f>
        <v>1543</v>
      </c>
      <c r="T19" s="74"/>
      <c r="U19" s="74"/>
      <c r="V19" s="74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35" customFormat="1" ht="12.6" customHeight="1">
      <c r="A20" s="334">
        <v>3221</v>
      </c>
      <c r="B20" s="10" t="s">
        <v>79</v>
      </c>
      <c r="C20" s="70">
        <f t="shared" si="2"/>
        <v>9548.64</v>
      </c>
      <c r="D20" s="74"/>
      <c r="E20" s="74"/>
      <c r="F20" s="74">
        <v>275.24</v>
      </c>
      <c r="G20" s="74"/>
      <c r="H20" s="74">
        <v>2936.72</v>
      </c>
      <c r="I20" s="74">
        <v>1472.68</v>
      </c>
      <c r="J20" s="74">
        <v>3321</v>
      </c>
      <c r="K20" s="74"/>
      <c r="L20" s="74"/>
      <c r="M20" s="74"/>
      <c r="N20" s="74"/>
      <c r="O20" s="74"/>
      <c r="P20" s="74"/>
      <c r="Q20" s="74"/>
      <c r="R20" s="74"/>
      <c r="S20" s="74">
        <v>1543</v>
      </c>
      <c r="T20" s="74"/>
      <c r="U20" s="74"/>
      <c r="V20" s="74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4">
        <v>3223</v>
      </c>
      <c r="B21" s="10" t="s">
        <v>88</v>
      </c>
      <c r="C21" s="70">
        <f t="shared" si="2"/>
        <v>14097.880000000001</v>
      </c>
      <c r="D21" s="74"/>
      <c r="E21" s="74"/>
      <c r="F21" s="74">
        <v>602</v>
      </c>
      <c r="G21" s="74"/>
      <c r="H21" s="74">
        <v>3025.51</v>
      </c>
      <c r="I21" s="74">
        <v>3322.3700000000003</v>
      </c>
      <c r="J21" s="74">
        <v>7148</v>
      </c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4">
        <v>3224</v>
      </c>
      <c r="B22" s="10" t="s">
        <v>93</v>
      </c>
      <c r="C22" s="70">
        <f t="shared" si="2"/>
        <v>84</v>
      </c>
      <c r="D22" s="74"/>
      <c r="E22" s="74"/>
      <c r="F22" s="74">
        <v>84</v>
      </c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4">
        <v>3225</v>
      </c>
      <c r="B23" s="10" t="s">
        <v>101</v>
      </c>
      <c r="C23" s="70">
        <f t="shared" si="2"/>
        <v>1045.3900000000001</v>
      </c>
      <c r="D23" s="74"/>
      <c r="E23" s="74"/>
      <c r="F23" s="74"/>
      <c r="G23" s="74"/>
      <c r="H23" s="74">
        <v>119.32</v>
      </c>
      <c r="I23" s="74">
        <v>926.07</v>
      </c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4">
        <v>323</v>
      </c>
      <c r="B24" s="10" t="s">
        <v>5281</v>
      </c>
      <c r="C24" s="70">
        <f>SUM(C25:C33)</f>
        <v>121342.45</v>
      </c>
      <c r="D24" s="74">
        <f>SUM(D25:D33)</f>
        <v>3457</v>
      </c>
      <c r="E24" s="74"/>
      <c r="F24" s="74"/>
      <c r="G24" s="74"/>
      <c r="H24" s="74">
        <f>SUM(H25:H33)</f>
        <v>34106.74</v>
      </c>
      <c r="I24" s="74">
        <f>SUM(I25:I33)</f>
        <v>22681.71</v>
      </c>
      <c r="J24" s="74">
        <f>SUM(J25:J33)</f>
        <v>57847</v>
      </c>
      <c r="K24" s="74"/>
      <c r="L24" s="74"/>
      <c r="M24" s="74"/>
      <c r="N24" s="74"/>
      <c r="O24" s="74"/>
      <c r="P24" s="74"/>
      <c r="Q24" s="74"/>
      <c r="R24" s="74"/>
      <c r="S24" s="74">
        <f>SUM(S25:S33)</f>
        <v>2871</v>
      </c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4">
        <v>3231</v>
      </c>
      <c r="B25" s="10" t="s">
        <v>102</v>
      </c>
      <c r="C25" s="70">
        <f t="shared" si="2"/>
        <v>5779.94</v>
      </c>
      <c r="D25" s="74"/>
      <c r="E25" s="74"/>
      <c r="F25" s="74"/>
      <c r="G25" s="74"/>
      <c r="H25" s="74">
        <v>1349.6799999999998</v>
      </c>
      <c r="I25" s="74">
        <v>3032.2599999999998</v>
      </c>
      <c r="J25" s="74">
        <v>1398</v>
      </c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4">
        <v>3232</v>
      </c>
      <c r="B26" s="10" t="s">
        <v>89</v>
      </c>
      <c r="C26" s="70">
        <f t="shared" si="2"/>
        <v>2010.6900000000005</v>
      </c>
      <c r="D26" s="74"/>
      <c r="E26" s="74"/>
      <c r="F26" s="74"/>
      <c r="G26" s="74"/>
      <c r="H26" s="74">
        <v>19.900000000000546</v>
      </c>
      <c r="I26" s="74">
        <v>409.79</v>
      </c>
      <c r="J26" s="74">
        <v>1581</v>
      </c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4">
        <v>3233</v>
      </c>
      <c r="B27" s="10" t="s">
        <v>77</v>
      </c>
      <c r="C27" s="70">
        <f t="shared" si="2"/>
        <v>18251.78</v>
      </c>
      <c r="D27" s="74">
        <v>2206</v>
      </c>
      <c r="E27" s="74"/>
      <c r="F27" s="74"/>
      <c r="G27" s="74"/>
      <c r="H27" s="74">
        <v>2287.15</v>
      </c>
      <c r="I27" s="74">
        <v>3884.63</v>
      </c>
      <c r="J27" s="74">
        <v>7003</v>
      </c>
      <c r="K27" s="74"/>
      <c r="L27" s="74"/>
      <c r="M27" s="74"/>
      <c r="N27" s="74"/>
      <c r="O27" s="74"/>
      <c r="P27" s="74"/>
      <c r="Q27" s="74"/>
      <c r="R27" s="74"/>
      <c r="S27" s="74">
        <v>2871</v>
      </c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4">
        <v>3234</v>
      </c>
      <c r="B28" s="10" t="s">
        <v>90</v>
      </c>
      <c r="C28" s="70">
        <f t="shared" si="2"/>
        <v>4016.42</v>
      </c>
      <c r="D28" s="74">
        <v>103</v>
      </c>
      <c r="E28" s="74"/>
      <c r="F28" s="74"/>
      <c r="G28" s="74"/>
      <c r="H28" s="74">
        <v>437.03</v>
      </c>
      <c r="I28" s="74">
        <v>1532.3899999999999</v>
      </c>
      <c r="J28" s="74">
        <v>1944</v>
      </c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4">
        <v>3235</v>
      </c>
      <c r="B29" s="10" t="s">
        <v>110</v>
      </c>
      <c r="C29" s="70">
        <f t="shared" si="2"/>
        <v>25862.34</v>
      </c>
      <c r="D29" s="74">
        <v>1035</v>
      </c>
      <c r="E29" s="74"/>
      <c r="F29" s="74"/>
      <c r="G29" s="74"/>
      <c r="H29" s="74">
        <v>2674.82</v>
      </c>
      <c r="I29" s="74">
        <v>3781.52</v>
      </c>
      <c r="J29" s="74">
        <v>18371</v>
      </c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35" customFormat="1" ht="12.6" customHeight="1">
      <c r="A30" s="334">
        <v>3236</v>
      </c>
      <c r="B30" s="10" t="s">
        <v>53</v>
      </c>
      <c r="C30" s="70">
        <f t="shared" si="2"/>
        <v>552</v>
      </c>
      <c r="D30" s="74"/>
      <c r="E30" s="74"/>
      <c r="F30" s="74">
        <v>379</v>
      </c>
      <c r="G30" s="74"/>
      <c r="H30" s="74">
        <v>173</v>
      </c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35" customFormat="1" ht="12.6" customHeight="1">
      <c r="A31" s="334">
        <v>3237</v>
      </c>
      <c r="B31" s="10" t="s">
        <v>66</v>
      </c>
      <c r="C31" s="70">
        <f t="shared" si="2"/>
        <v>48513.39</v>
      </c>
      <c r="D31" s="74"/>
      <c r="E31" s="74"/>
      <c r="F31" s="74"/>
      <c r="G31" s="74"/>
      <c r="H31" s="74">
        <v>20740.39</v>
      </c>
      <c r="I31" s="74">
        <v>7390</v>
      </c>
      <c r="J31" s="74">
        <v>20383</v>
      </c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35" customFormat="1" ht="12.6" customHeight="1">
      <c r="A32" s="334">
        <v>3238</v>
      </c>
      <c r="B32" s="10" t="s">
        <v>103</v>
      </c>
      <c r="C32" s="70">
        <f t="shared" si="2"/>
        <v>1980.62</v>
      </c>
      <c r="D32" s="74">
        <v>113</v>
      </c>
      <c r="E32" s="74"/>
      <c r="F32" s="74"/>
      <c r="G32" s="74"/>
      <c r="H32" s="74">
        <v>439.62</v>
      </c>
      <c r="I32" s="74"/>
      <c r="J32" s="74">
        <v>1428</v>
      </c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</row>
    <row r="33" spans="1:262" s="35" customFormat="1" ht="12.6" customHeight="1">
      <c r="A33" s="334">
        <v>3239</v>
      </c>
      <c r="B33" s="10" t="s">
        <v>83</v>
      </c>
      <c r="C33" s="70">
        <f t="shared" si="2"/>
        <v>14375.27</v>
      </c>
      <c r="D33" s="74"/>
      <c r="E33" s="74"/>
      <c r="F33" s="74"/>
      <c r="G33" s="74"/>
      <c r="H33" s="74">
        <v>5985.1500000000005</v>
      </c>
      <c r="I33" s="74">
        <v>2651.12</v>
      </c>
      <c r="J33" s="74">
        <v>5739</v>
      </c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35" customFormat="1" ht="12.6" customHeight="1">
      <c r="A34" s="334">
        <v>324</v>
      </c>
      <c r="B34" s="10" t="s">
        <v>80</v>
      </c>
      <c r="C34" s="70">
        <f t="shared" si="2"/>
        <v>3268.21</v>
      </c>
      <c r="D34" s="74"/>
      <c r="E34" s="74"/>
      <c r="F34" s="74"/>
      <c r="G34" s="74"/>
      <c r="H34" s="74">
        <f>SUM(H35)</f>
        <v>439.56</v>
      </c>
      <c r="I34" s="74">
        <f>SUM(I35)</f>
        <v>815.65</v>
      </c>
      <c r="J34" s="74">
        <f>SUM(J35)</f>
        <v>1590</v>
      </c>
      <c r="K34" s="74"/>
      <c r="L34" s="74"/>
      <c r="M34" s="74"/>
      <c r="N34" s="74"/>
      <c r="O34" s="74"/>
      <c r="P34" s="74"/>
      <c r="Q34" s="74"/>
      <c r="R34" s="74"/>
      <c r="S34" s="74">
        <f>SUM(S35)</f>
        <v>423</v>
      </c>
      <c r="T34" s="74"/>
      <c r="U34" s="74"/>
      <c r="V34" s="74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35" customFormat="1" ht="12.6" customHeight="1">
      <c r="A35" s="334">
        <v>3241</v>
      </c>
      <c r="B35" s="10" t="s">
        <v>80</v>
      </c>
      <c r="C35" s="70">
        <f t="shared" si="2"/>
        <v>3268.21</v>
      </c>
      <c r="D35" s="74"/>
      <c r="E35" s="74"/>
      <c r="F35" s="74"/>
      <c r="G35" s="74"/>
      <c r="H35" s="74">
        <v>439.56</v>
      </c>
      <c r="I35" s="74">
        <v>815.65</v>
      </c>
      <c r="J35" s="74">
        <v>1590</v>
      </c>
      <c r="K35" s="74"/>
      <c r="L35" s="74"/>
      <c r="M35" s="74"/>
      <c r="N35" s="74"/>
      <c r="O35" s="74"/>
      <c r="P35" s="74"/>
      <c r="Q35" s="74"/>
      <c r="R35" s="74"/>
      <c r="S35" s="331">
        <v>423</v>
      </c>
      <c r="T35" s="74"/>
      <c r="U35" s="74"/>
      <c r="V35" s="74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</row>
    <row r="36" spans="1:262" s="35" customFormat="1" ht="12.6" customHeight="1">
      <c r="A36" s="334">
        <v>329</v>
      </c>
      <c r="B36" s="10" t="s">
        <v>57</v>
      </c>
      <c r="C36" s="70">
        <f t="shared" si="2"/>
        <v>34680.01</v>
      </c>
      <c r="D36" s="74">
        <f>SUM(D37:D42)</f>
        <v>12275</v>
      </c>
      <c r="E36" s="74"/>
      <c r="F36" s="74"/>
      <c r="G36" s="74"/>
      <c r="H36" s="74">
        <f>SUM(H37:H42)</f>
        <v>4530.2</v>
      </c>
      <c r="I36" s="74">
        <f>SUM(I37:I42)</f>
        <v>359.81</v>
      </c>
      <c r="J36" s="74">
        <f>SUM(J37:J42)</f>
        <v>17515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</row>
    <row r="37" spans="1:262" s="35" customFormat="1" ht="12.6" customHeight="1">
      <c r="A37" s="334">
        <v>3291</v>
      </c>
      <c r="B37" s="10" t="s">
        <v>5282</v>
      </c>
      <c r="C37" s="70">
        <f t="shared" si="2"/>
        <v>9176</v>
      </c>
      <c r="D37" s="74"/>
      <c r="E37" s="74"/>
      <c r="F37" s="74"/>
      <c r="G37" s="74"/>
      <c r="H37" s="74">
        <v>3670</v>
      </c>
      <c r="I37" s="74"/>
      <c r="J37" s="74">
        <v>5506</v>
      </c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35" customFormat="1" ht="12.6" customHeight="1">
      <c r="A38" s="334">
        <v>3293</v>
      </c>
      <c r="B38" s="10" t="s">
        <v>84</v>
      </c>
      <c r="C38" s="70">
        <f t="shared" si="2"/>
        <v>2839.73</v>
      </c>
      <c r="D38" s="74">
        <v>56</v>
      </c>
      <c r="E38" s="74"/>
      <c r="F38" s="74"/>
      <c r="G38" s="74"/>
      <c r="H38" s="74">
        <v>680.75</v>
      </c>
      <c r="I38" s="74">
        <v>104.98</v>
      </c>
      <c r="J38" s="74">
        <v>1998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</row>
    <row r="39" spans="1:262" s="35" customFormat="1" ht="12.6" customHeight="1">
      <c r="A39" s="334">
        <v>3294</v>
      </c>
      <c r="B39" s="10" t="s">
        <v>5284</v>
      </c>
      <c r="C39" s="70">
        <f t="shared" si="2"/>
        <v>524.28</v>
      </c>
      <c r="D39" s="74">
        <v>58</v>
      </c>
      <c r="E39" s="74"/>
      <c r="F39" s="74"/>
      <c r="G39" s="74"/>
      <c r="H39" s="74">
        <v>46.45</v>
      </c>
      <c r="I39" s="74">
        <v>254.83</v>
      </c>
      <c r="J39" s="74">
        <v>165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</row>
    <row r="40" spans="1:262" s="35" customFormat="1" ht="12.6" customHeight="1">
      <c r="A40" s="334">
        <v>3295</v>
      </c>
      <c r="B40" s="10" t="s">
        <v>54</v>
      </c>
      <c r="C40" s="70">
        <f t="shared" si="2"/>
        <v>611</v>
      </c>
      <c r="D40" s="74">
        <v>611</v>
      </c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</row>
    <row r="41" spans="1:262" s="35" customFormat="1" ht="12.6" customHeight="1">
      <c r="A41" s="334">
        <v>3296</v>
      </c>
      <c r="B41" s="10" t="s">
        <v>148</v>
      </c>
      <c r="C41" s="70">
        <f t="shared" si="2"/>
        <v>11550</v>
      </c>
      <c r="D41" s="74">
        <v>11550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</row>
    <row r="42" spans="1:262" s="35" customFormat="1" ht="12.6" customHeight="1">
      <c r="A42" s="334">
        <v>3299</v>
      </c>
      <c r="B42" s="10" t="s">
        <v>57</v>
      </c>
      <c r="C42" s="70">
        <f t="shared" si="2"/>
        <v>9979</v>
      </c>
      <c r="D42" s="74"/>
      <c r="E42" s="74"/>
      <c r="F42" s="74"/>
      <c r="G42" s="74"/>
      <c r="H42" s="74">
        <v>133</v>
      </c>
      <c r="I42" s="74"/>
      <c r="J42" s="74">
        <v>9846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11" customFormat="1" ht="12.6" customHeight="1">
      <c r="A43" s="334">
        <v>34</v>
      </c>
      <c r="B43" s="10" t="s">
        <v>200</v>
      </c>
      <c r="C43" s="70">
        <f t="shared" si="2"/>
        <v>12822.81</v>
      </c>
      <c r="D43" s="74">
        <f>SUMIFS('Unos rashoda i izdataka'!$J$3:$J$575,'Unos rashoda i izdataka'!$C$3:$C$575,"=11",'Unos rashoda i izdataka'!$P$3:$P$575,"=34")+SUMIFS('Unos rashoda P4'!$H$3:$H$501,'Unos rashoda P4'!$A$3:$A$501,"=11",'Unos rashoda P4'!$S$3:$S$501,"=34")</f>
        <v>0</v>
      </c>
      <c r="E43" s="74">
        <f>SUMIFS('Unos rashoda i izdataka'!$J$3:$J$575,'Unos rashoda i izdataka'!$C$3:$C$575,"=12",'Unos rashoda i izdataka'!$P$3:$P$575,"=34")+SUMIFS('Unos rashoda P4'!$H$3:$H$501,'Unos rashoda P4'!$A$3:$A$501,"=12",'Unos rashoda P4'!$S$3:$S$501,"=34")</f>
        <v>0</v>
      </c>
      <c r="F43" s="74">
        <f>SUMIFS('Unos rashoda i izdataka'!$J$3:$J$575,'Unos rashoda i izdataka'!$C$3:$C$575,"=31",'Unos rashoda i izdataka'!$P$3:$P$575,"=34")+SUMIFS('Unos rashoda P4'!$H$3:$H$501,'Unos rashoda P4'!$A$3:$A$501,"=31",'Unos rashoda P4'!$S$3:$S$501,"=34")</f>
        <v>519.04999999999995</v>
      </c>
      <c r="G43" s="74">
        <f>SUMIFS('Unos rashoda i izdataka'!$J$3:$J$575,'Unos rashoda i izdataka'!$C$3:$C$575,"=41",'Unos rashoda i izdataka'!$P$3:$P$575,"=34")+SUMIFS('Unos rashoda P4'!$H$3:$H$501,'Unos rashoda P4'!$A$3:$A$501,"=41",'Unos rashoda P4'!$S$3:$S$501,"=34")</f>
        <v>0</v>
      </c>
      <c r="H43" s="74">
        <f>SUMIFS('Unos rashoda i izdataka'!$J$3:$J$575,'Unos rashoda i izdataka'!$C$3:$C$575,"=43",'Unos rashoda i izdataka'!$P$3:$P$575,"=34")+SUMIFS('Unos rashoda P4'!$H$3:$H$501,'Unos rashoda P4'!$A$3:$A$501,"=43",'Unos rashoda P4'!$S$3:$S$501,"=34")</f>
        <v>908.91</v>
      </c>
      <c r="I43" s="74">
        <f>SUMIFS('Unos rashoda i izdataka'!$J$3:$J$575,'Unos rashoda i izdataka'!$C$3:$C$575,"=51",'Unos rashoda i izdataka'!$P$3:$P$575,"=34")+SUMIFS('Unos rashoda P4'!$H$3:$H$501,'Unos rashoda P4'!$A$3:$A$501,"=51",'Unos rashoda P4'!$S$3:$S$501,"=34")</f>
        <v>4298.8499999999995</v>
      </c>
      <c r="J43" s="74">
        <f>SUMIFS('Unos rashoda i izdataka'!$J$3:$J$575,'Unos rashoda i izdataka'!$C$3:$C$575,"=52",'Unos rashoda i izdataka'!$P$3:$P$575,"=34")+SUMIFS('Unos rashoda P4'!$H$3:$H$501,'Unos rashoda P4'!$A$3:$A$501,"=52",'Unos rashoda P4'!$S$3:$S$501,"=34")</f>
        <v>7096</v>
      </c>
      <c r="K43" s="74">
        <f>SUMIFS('Unos rashoda i izdataka'!$J$3:$J$575,'Unos rashoda i izdataka'!$C$3:$C$575,"=552",'Unos rashoda i izdataka'!$P$3:$P$575,"=34")+SUMIFS('Unos rashoda P4'!$H$3:$H$501,'Unos rashoda P4'!$A$3:$A$501,"=552",'Unos rashoda P4'!$S$3:$S$501,"=34")</f>
        <v>0</v>
      </c>
      <c r="L43" s="74">
        <f>SUMIFS('Unos rashoda i izdataka'!$J$3:$J$575,'Unos rashoda i izdataka'!$C$3:$C$575,"=559",'Unos rashoda i izdataka'!$P$3:$P$575,"=34")+SUMIFS('Unos rashoda P4'!$H$3:$H$501,'Unos rashoda P4'!$A$3:$A$501,"=559",'Unos rashoda P4'!$S$3:$S$501,"=34")</f>
        <v>0</v>
      </c>
      <c r="M43" s="74">
        <f>SUMIFS('Unos rashoda i izdataka'!$J$3:$J$575,'Unos rashoda i izdataka'!$C$3:$C$575,"=561",'Unos rashoda i izdataka'!$P$3:$P$575,"=34")+SUMIFS('Unos rashoda P4'!$H$3:$H$501,'Unos rashoda P4'!$A$3:$A$501,"=561",'Unos rashoda P4'!$S$3:$S$501,"=34")</f>
        <v>0</v>
      </c>
      <c r="N43" s="74">
        <f>SUMIFS('Unos rashoda i izdataka'!$J$3:$J$575,'Unos rashoda i izdataka'!$C$3:$C$575,"=563",'Unos rashoda i izdataka'!$P$3:$P$575,"=34")+SUMIFS('Unos rashoda P4'!$H$3:$H$501,'Unos rashoda P4'!$A$3:$A$501,"=563",'Unos rashoda P4'!$S$3:$S$501,"=34")</f>
        <v>0</v>
      </c>
      <c r="O43" s="74">
        <f>SUMIFS('Unos rashoda i izdataka'!$J$3:$J$575,'Unos rashoda i izdataka'!$C$3:$C$575,"=573",'Unos rashoda i izdataka'!$P$3:$P$575,"=34")+SUMIFS('Unos rashoda P4'!$H$3:$H$501,'Unos rashoda P4'!$A$3:$A$501,"=573",'Unos rashoda P4'!$S$3:$S$501,"=34")</f>
        <v>0</v>
      </c>
      <c r="P43" s="74">
        <f>SUMIFS('Unos rashoda i izdataka'!$J$3:$J$575,'Unos rashoda i izdataka'!$C$3:$C$575,"=575",'Unos rashoda i izdataka'!$P$3:$P$575,"=34")+SUMIFS('Unos rashoda P4'!$H$3:$H$501,'Unos rashoda P4'!$A$3:$A$501,"=575",'Unos rashoda P4'!$S$3:$S$501,"=34")</f>
        <v>0</v>
      </c>
      <c r="Q43" s="74">
        <f>SUMIFS('Unos rashoda i izdataka'!$J$3:$J$575,'Unos rashoda i izdataka'!$Q$3:$Q$575,"=576",'Unos rashoda i izdataka'!$P$3:$P$575,"=34")+SUMIFS('Unos rashoda P4'!$H$3:$H$501,'Unos rashoda P4'!$A$3:$A$501,"=576",'Unos rashoda P4'!$S$3:$S$501,"=34")</f>
        <v>0</v>
      </c>
      <c r="R43" s="74">
        <f>SUMIFS('Unos rashoda i izdataka'!$J$3:$J$575,'Unos rashoda i izdataka'!$C$3:$C$575,"=581",'Unos rashoda i izdataka'!$P$3:$P$575,"=34")+SUMIFS('Unos rashoda P4'!$H$3:$H$501,'Unos rashoda P4'!$A$3:$A$501,"=581",'Unos rashoda P4'!$S$3:$S$501,"=34")</f>
        <v>0</v>
      </c>
      <c r="S43" s="74">
        <f>SUMIFS('Unos rashoda i izdataka'!$J$3:$J$575,'Unos rashoda i izdataka'!$C$3:$C$575,"=61",'Unos rashoda i izdataka'!$P$3:$P$575,"=34")+SUMIFS('Unos rashoda P4'!$H$3:$H$501,'Unos rashoda P4'!$A$3:$A$501,"=61",'Unos rashoda P4'!$S$3:$S$501,"=34")</f>
        <v>0</v>
      </c>
      <c r="T43" s="74">
        <f>SUMIFS('Unos rashoda i izdataka'!$J$3:$J$575,'Unos rashoda i izdataka'!$C$3:$C$575,"=63",'Unos rashoda i izdataka'!$P$3:$P$575,"=34")+SUMIFS('Unos rashoda P4'!$H$3:$H$501,'Unos rashoda P4'!$A$3:$A$501,"=63",'Unos rashoda P4'!$S$3:$S$501,"=34")</f>
        <v>0</v>
      </c>
      <c r="U43" s="74">
        <f>SUMIFS('Unos rashoda i izdataka'!$J$3:$J$575,'Unos rashoda i izdataka'!$C$3:$C$575,"=71",'Unos rashoda i izdataka'!$P$3:$P$575,"=34")+SUMIFS('Unos rashoda P4'!$H$3:$H$501,'Unos rashoda P4'!$A$3:$A$501,"=71",'Unos rashoda P4'!$S$3:$S$501,"=34")</f>
        <v>0</v>
      </c>
      <c r="V43" s="74">
        <f>SUMIFS('Unos rashoda i izdataka'!$J$3:$J$575,'Unos rashoda i izdataka'!$C$3:$C$575,"=81",'Unos rashoda i izdataka'!$P$3:$P$575,"=34")+SUMIFS('Unos rashoda P4'!$H$3:$H$501,'Unos rashoda P4'!$A$3:$A$501,"=81",'Unos rashoda P4'!$S$3:$S$501,"=34")</f>
        <v>0</v>
      </c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4">
        <v>343</v>
      </c>
      <c r="B44" s="10" t="s">
        <v>5285</v>
      </c>
      <c r="C44" s="70">
        <f t="shared" si="2"/>
        <v>12822.96</v>
      </c>
      <c r="D44" s="74">
        <f>SUM(D45:D47)</f>
        <v>11379</v>
      </c>
      <c r="E44" s="74"/>
      <c r="F44" s="74">
        <f>SUM(F45:F47)</f>
        <v>519.04999999999995</v>
      </c>
      <c r="G44" s="74"/>
      <c r="H44" s="74">
        <f>SUM(H45:H47)</f>
        <v>908.91</v>
      </c>
      <c r="I44" s="74"/>
      <c r="J44" s="74">
        <f>SUM(J45:J47)</f>
        <v>16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11" customFormat="1" ht="12.6" customHeight="1">
      <c r="A45" s="334">
        <v>3431</v>
      </c>
      <c r="B45" s="10" t="s">
        <v>82</v>
      </c>
      <c r="C45" s="70">
        <f t="shared" si="2"/>
        <v>831.79</v>
      </c>
      <c r="D45" s="74"/>
      <c r="E45" s="74"/>
      <c r="F45" s="74">
        <v>253.79000000000002</v>
      </c>
      <c r="G45" s="74"/>
      <c r="H45" s="74">
        <v>578</v>
      </c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11" customFormat="1" ht="12.6" customHeight="1">
      <c r="A46" s="334">
        <v>3432</v>
      </c>
      <c r="B46" s="10" t="s">
        <v>5294</v>
      </c>
      <c r="C46" s="70">
        <f t="shared" si="2"/>
        <v>29.810000000000002</v>
      </c>
      <c r="D46" s="74"/>
      <c r="E46" s="74"/>
      <c r="F46" s="74"/>
      <c r="G46" s="74"/>
      <c r="H46" s="74">
        <v>13.81</v>
      </c>
      <c r="I46" s="74"/>
      <c r="J46" s="74">
        <v>16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1" customFormat="1" ht="12.6" customHeight="1">
      <c r="A47" s="334">
        <v>3433</v>
      </c>
      <c r="B47" s="10" t="s">
        <v>136</v>
      </c>
      <c r="C47" s="70">
        <f t="shared" si="2"/>
        <v>11961.36</v>
      </c>
      <c r="D47" s="74">
        <v>11379</v>
      </c>
      <c r="E47" s="74"/>
      <c r="F47" s="74">
        <v>265.26</v>
      </c>
      <c r="G47" s="74"/>
      <c r="H47" s="74">
        <v>317.10000000000002</v>
      </c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35" customFormat="1" ht="12.6" customHeight="1">
      <c r="A48" s="334">
        <v>35</v>
      </c>
      <c r="B48" s="10" t="s">
        <v>252</v>
      </c>
      <c r="C48" s="70">
        <f t="shared" si="2"/>
        <v>0</v>
      </c>
      <c r="D48" s="74">
        <f>SUMIFS('Unos rashoda i izdataka'!$J$3:$J$575,'Unos rashoda i izdataka'!$C$3:$C$575,"=11",'Unos rashoda i izdataka'!$P$3:$P$575,"=35")+SUMIFS('Unos rashoda P4'!$H$3:$H$501,'Unos rashoda P4'!$A$3:$A$501,"=11",'Unos rashoda P4'!$S$3:$S$501,"=35")</f>
        <v>0</v>
      </c>
      <c r="E48" s="74">
        <f>SUMIFS('Unos rashoda i izdataka'!$J$3:$J$575,'Unos rashoda i izdataka'!$C$3:$C$575,"=12",'Unos rashoda i izdataka'!$P$3:$P$575,"=35")+SUMIFS('Unos rashoda P4'!$H$3:$H$501,'Unos rashoda P4'!$A$3:$A$501,"=12",'Unos rashoda P4'!$S$3:$S$501,"=35")</f>
        <v>0</v>
      </c>
      <c r="F48" s="74">
        <f>SUMIFS('Unos rashoda i izdataka'!$J$3:$J$575,'Unos rashoda i izdataka'!$C$3:$C$575,"=31",'Unos rashoda i izdataka'!$P$3:$P$575,"=35")+SUMIFS('Unos rashoda P4'!$H$3:$H$501,'Unos rashoda P4'!$A$3:$A$501,"=31",'Unos rashoda P4'!$S$3:$S$501,"=35")</f>
        <v>0</v>
      </c>
      <c r="G48" s="74">
        <f>SUMIFS('Unos rashoda i izdataka'!$J$3:$J$575,'Unos rashoda i izdataka'!$C$3:$C$575,"=41",'Unos rashoda i izdataka'!$P$3:$P$575,"=35")+SUMIFS('Unos rashoda P4'!$H$3:$H$501,'Unos rashoda P4'!$A$3:$A$501,"=41",'Unos rashoda P4'!$S$3:$S$501,"=35")</f>
        <v>0</v>
      </c>
      <c r="H48" s="74">
        <f>SUMIFS('Unos rashoda i izdataka'!$J$3:$J$575,'Unos rashoda i izdataka'!$C$3:$C$575,"=43",'Unos rashoda i izdataka'!$P$3:$P$575,"=35")+SUMIFS('Unos rashoda P4'!$H$3:$H$501,'Unos rashoda P4'!$A$3:$A$501,"=43",'Unos rashoda P4'!$S$3:$S$501,"=35")</f>
        <v>0</v>
      </c>
      <c r="I48" s="74">
        <f>SUMIFS('Unos rashoda i izdataka'!$J$3:$J$575,'Unos rashoda i izdataka'!$C$3:$C$575,"=51",'Unos rashoda i izdataka'!$P$3:$P$575,"=35")+SUMIFS('Unos rashoda P4'!$H$3:$H$501,'Unos rashoda P4'!$A$3:$A$501,"=51",'Unos rashoda P4'!$S$3:$S$501,"=35")</f>
        <v>0</v>
      </c>
      <c r="J48" s="74">
        <f>SUMIFS('Unos rashoda i izdataka'!$J$3:$J$575,'Unos rashoda i izdataka'!$C$3:$C$575,"=52",'Unos rashoda i izdataka'!$P$3:$P$575,"=35")+SUMIFS('Unos rashoda P4'!$H$3:$H$501,'Unos rashoda P4'!$A$3:$A$501,"=52",'Unos rashoda P4'!$S$3:$S$501,"=35")</f>
        <v>0</v>
      </c>
      <c r="K48" s="74">
        <f>SUMIFS('Unos rashoda i izdataka'!$J$3:$J$575,'Unos rashoda i izdataka'!$C$3:$C$575,"=552",'Unos rashoda i izdataka'!$P$3:$P$575,"=35")+SUMIFS('Unos rashoda P4'!$H$3:$H$501,'Unos rashoda P4'!$A$3:$A$501,"=552",'Unos rashoda P4'!$S$3:$S$501,"=35")</f>
        <v>0</v>
      </c>
      <c r="L48" s="74">
        <f>SUMIFS('Unos rashoda i izdataka'!$J$3:$J$575,'Unos rashoda i izdataka'!$C$3:$C$575,"=559",'Unos rashoda i izdataka'!$P$3:$P$575,"=35")+SUMIFS('Unos rashoda P4'!$H$3:$H$501,'Unos rashoda P4'!$A$3:$A$501,"=559",'Unos rashoda P4'!$S$3:$S$501,"=35")</f>
        <v>0</v>
      </c>
      <c r="M48" s="74">
        <f>SUMIFS('Unos rashoda i izdataka'!$J$3:$J$575,'Unos rashoda i izdataka'!$C$3:$C$575,"=561",'Unos rashoda i izdataka'!$P$3:$P$575,"=35")+SUMIFS('Unos rashoda P4'!$H$3:$H$501,'Unos rashoda P4'!$A$3:$A$501,"=561",'Unos rashoda P4'!$S$3:$S$501,"=35")</f>
        <v>0</v>
      </c>
      <c r="N48" s="74">
        <f>SUMIFS('Unos rashoda i izdataka'!$J$3:$J$575,'Unos rashoda i izdataka'!$C$3:$C$575,"=563",'Unos rashoda i izdataka'!$P$3:$P$575,"=35")+SUMIFS('Unos rashoda P4'!$H$3:$H$501,'Unos rashoda P4'!$A$3:$A$501,"=563",'Unos rashoda P4'!$S$3:$S$501,"=35")</f>
        <v>0</v>
      </c>
      <c r="O48" s="74">
        <f>SUMIFS('Unos rashoda i izdataka'!$J$3:$J$575,'Unos rashoda i izdataka'!$C$3:$C$575,"=573",'Unos rashoda i izdataka'!$P$3:$P$575,"=35")+SUMIFS('Unos rashoda P4'!$H$3:$H$501,'Unos rashoda P4'!$A$3:$A$501,"=573",'Unos rashoda P4'!$S$3:$S$501,"=35")</f>
        <v>0</v>
      </c>
      <c r="P48" s="74">
        <f>SUMIFS('Unos rashoda i izdataka'!$J$3:$J$575,'Unos rashoda i izdataka'!$C$3:$C$575,"=575",'Unos rashoda i izdataka'!$P$3:$P$575,"=35")+SUMIFS('Unos rashoda P4'!$H$3:$H$501,'Unos rashoda P4'!$A$3:$A$501,"=575",'Unos rashoda P4'!$S$3:$S$501,"=35")</f>
        <v>0</v>
      </c>
      <c r="Q48" s="74">
        <f>SUMIFS('Unos rashoda i izdataka'!$J$3:$J$575,'Unos rashoda i izdataka'!$Q$3:$Q$575,"=576",'Unos rashoda i izdataka'!$P$3:$P$575,"=35")+SUMIFS('Unos rashoda P4'!$H$3:$H$501,'Unos rashoda P4'!$A$3:$A$501,"=576",'Unos rashoda P4'!$S$3:$S$501,"=35")</f>
        <v>0</v>
      </c>
      <c r="R48" s="74">
        <f>SUMIFS('Unos rashoda i izdataka'!$J$3:$J$575,'Unos rashoda i izdataka'!$C$3:$C$575,"=581",'Unos rashoda i izdataka'!$P$3:$P$575,"=35")+SUMIFS('Unos rashoda P4'!$H$3:$H$501,'Unos rashoda P4'!$A$3:$A$501,"=581",'Unos rashoda P4'!$S$3:$S$501,"=35")</f>
        <v>0</v>
      </c>
      <c r="S48" s="74">
        <f>SUMIFS('Unos rashoda i izdataka'!$J$3:$J$575,'Unos rashoda i izdataka'!$C$3:$C$575,"=61",'Unos rashoda i izdataka'!$P$3:$P$575,"=35")+SUMIFS('Unos rashoda P4'!$H$3:$H$501,'Unos rashoda P4'!$A$3:$A$501,"=61",'Unos rashoda P4'!$S$3:$S$501,"=35")</f>
        <v>0</v>
      </c>
      <c r="T48" s="74">
        <f>SUMIFS('Unos rashoda i izdataka'!$J$3:$J$575,'Unos rashoda i izdataka'!$C$3:$C$575,"=63",'Unos rashoda i izdataka'!$P$3:$P$575,"=35")+SUMIFS('Unos rashoda P4'!$H$3:$H$501,'Unos rashoda P4'!$A$3:$A$501,"=63",'Unos rashoda P4'!$S$3:$S$501,"=35")</f>
        <v>0</v>
      </c>
      <c r="U48" s="74">
        <f>SUMIFS('Unos rashoda i izdataka'!$J$3:$J$575,'Unos rashoda i izdataka'!$C$3:$C$575,"=71",'Unos rashoda i izdataka'!$P$3:$P$575,"=35")+SUMIFS('Unos rashoda P4'!$H$3:$H$501,'Unos rashoda P4'!$A$3:$A$501,"=71",'Unos rashoda P4'!$S$3:$S$501,"=35")</f>
        <v>0</v>
      </c>
      <c r="V48" s="74">
        <f>SUMIFS('Unos rashoda i izdataka'!$J$3:$J$575,'Unos rashoda i izdataka'!$C$3:$C$575,"=81",'Unos rashoda i izdataka'!$P$3:$P$575,"=35")+SUMIFS('Unos rashoda P4'!$H$3:$H$501,'Unos rashoda P4'!$A$3:$A$501,"=81",'Unos rashoda P4'!$S$3:$S$501,"=35")</f>
        <v>0</v>
      </c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35" customFormat="1" ht="12.6" customHeight="1">
      <c r="A49" s="334">
        <v>36</v>
      </c>
      <c r="B49" s="12" t="s">
        <v>201</v>
      </c>
      <c r="C49" s="70">
        <f t="shared" si="2"/>
        <v>98499</v>
      </c>
      <c r="D49" s="74">
        <f>SUMIFS('Unos rashoda i izdataka'!$J$3:$J$575,'Unos rashoda i izdataka'!$C$3:$C$575,"=11",'Unos rashoda i izdataka'!$P$3:$P$575,"=36")+SUMIFS('Unos rashoda P4'!$H$3:$H$501,'Unos rashoda P4'!$A$3:$A$501,"=11",'Unos rashoda P4'!$S$3:$S$501,"=36")</f>
        <v>0</v>
      </c>
      <c r="E49" s="74">
        <f>SUMIFS('Unos rashoda i izdataka'!$J$3:$J$575,'Unos rashoda i izdataka'!$C$3:$C$575,"=12",'Unos rashoda i izdataka'!$P$3:$P$575,"=36")+SUMIFS('Unos rashoda P4'!$H$3:$H$501,'Unos rashoda P4'!$A$3:$A$501,"=12",'Unos rashoda P4'!$S$3:$S$501,"=36")</f>
        <v>0</v>
      </c>
      <c r="F49" s="74">
        <f>SUMIFS('Unos rashoda i izdataka'!$J$3:$J$575,'Unos rashoda i izdataka'!$C$3:$C$575,"=31",'Unos rashoda i izdataka'!$P$3:$P$575,"=36")+SUMIFS('Unos rashoda P4'!$H$3:$H$501,'Unos rashoda P4'!$A$3:$A$501,"=31",'Unos rashoda P4'!$S$3:$S$501,"=36")</f>
        <v>0</v>
      </c>
      <c r="G49" s="74">
        <f>SUMIFS('Unos rashoda i izdataka'!$J$3:$J$575,'Unos rashoda i izdataka'!$C$3:$C$575,"=41",'Unos rashoda i izdataka'!$P$3:$P$575,"=36")+SUMIFS('Unos rashoda P4'!$H$3:$H$501,'Unos rashoda P4'!$A$3:$A$501,"=41",'Unos rashoda P4'!$S$3:$S$501,"=36")</f>
        <v>0</v>
      </c>
      <c r="H49" s="74">
        <f>SUMIFS('Unos rashoda i izdataka'!$J$3:$J$575,'Unos rashoda i izdataka'!$C$3:$C$575,"=43",'Unos rashoda i izdataka'!$P$3:$P$575,"=36")+SUMIFS('Unos rashoda P4'!$H$3:$H$501,'Unos rashoda P4'!$A$3:$A$501,"=43",'Unos rashoda P4'!$S$3:$S$501,"=36")</f>
        <v>0</v>
      </c>
      <c r="I49" s="74">
        <f>SUMIFS('Unos rashoda i izdataka'!$J$3:$J$575,'Unos rashoda i izdataka'!$C$3:$C$575,"=51",'Unos rashoda i izdataka'!$P$3:$P$575,"=36")+SUMIFS('Unos rashoda P4'!$H$3:$H$501,'Unos rashoda P4'!$A$3:$A$501,"=51",'Unos rashoda P4'!$S$3:$S$501,"=36")</f>
        <v>0</v>
      </c>
      <c r="J49" s="74">
        <f>SUMIFS('Unos rashoda i izdataka'!$J$3:$J$575,'Unos rashoda i izdataka'!$C$3:$C$575,"=52",'Unos rashoda i izdataka'!$P$3:$P$575,"=36")+SUMIFS('Unos rashoda P4'!$H$3:$H$501,'Unos rashoda P4'!$A$3:$A$501,"=52",'Unos rashoda P4'!$S$3:$S$501,"=36")</f>
        <v>98499</v>
      </c>
      <c r="K49" s="74">
        <f>SUMIFS('Unos rashoda i izdataka'!$J$3:$J$575,'Unos rashoda i izdataka'!$C$3:$C$575,"=552",'Unos rashoda i izdataka'!$P$3:$P$575,"=36")+SUMIFS('Unos rashoda P4'!$H$3:$H$501,'Unos rashoda P4'!$A$3:$A$501,"=552",'Unos rashoda P4'!$S$3:$S$501,"=36")</f>
        <v>0</v>
      </c>
      <c r="L49" s="74">
        <f>SUMIFS('Unos rashoda i izdataka'!$J$3:$J$575,'Unos rashoda i izdataka'!$C$3:$C$575,"=559",'Unos rashoda i izdataka'!$P$3:$P$575,"=36")+SUMIFS('Unos rashoda P4'!$H$3:$H$501,'Unos rashoda P4'!$A$3:$A$501,"=559",'Unos rashoda P4'!$S$3:$S$501,"=36")</f>
        <v>0</v>
      </c>
      <c r="M49" s="74">
        <f>SUMIFS('Unos rashoda i izdataka'!$J$3:$J$575,'Unos rashoda i izdataka'!$C$3:$C$575,"=561",'Unos rashoda i izdataka'!$P$3:$P$575,"=36")+SUMIFS('Unos rashoda P4'!$H$3:$H$501,'Unos rashoda P4'!$A$3:$A$501,"=561",'Unos rashoda P4'!$S$3:$S$501,"=36")</f>
        <v>0</v>
      </c>
      <c r="N49" s="74">
        <f>SUMIFS('Unos rashoda i izdataka'!$J$3:$J$575,'Unos rashoda i izdataka'!$C$3:$C$575,"=563",'Unos rashoda i izdataka'!$P$3:$P$575,"=36")+SUMIFS('Unos rashoda P4'!$H$3:$H$501,'Unos rashoda P4'!$A$3:$A$501,"=563",'Unos rashoda P4'!$S$3:$S$501,"=36")</f>
        <v>0</v>
      </c>
      <c r="O49" s="74">
        <f>SUMIFS('Unos rashoda i izdataka'!$J$3:$J$575,'Unos rashoda i izdataka'!$C$3:$C$575,"=573",'Unos rashoda i izdataka'!$P$3:$P$575,"=36")+SUMIFS('Unos rashoda P4'!$H$3:$H$501,'Unos rashoda P4'!$A$3:$A$501,"=573",'Unos rashoda P4'!$S$3:$S$501,"=36")</f>
        <v>0</v>
      </c>
      <c r="P49" s="74">
        <f>SUMIFS('Unos rashoda i izdataka'!$J$3:$J$575,'Unos rashoda i izdataka'!$C$3:$C$575,"=575",'Unos rashoda i izdataka'!$P$3:$P$575,"=36")+SUMIFS('Unos rashoda P4'!$H$3:$H$501,'Unos rashoda P4'!$A$3:$A$501,"=575",'Unos rashoda P4'!$S$3:$S$501,"=36")</f>
        <v>0</v>
      </c>
      <c r="Q49" s="74">
        <f>SUMIFS('Unos rashoda i izdataka'!$J$3:$J$575,'Unos rashoda i izdataka'!$Q$3:$Q$575,"=576",'Unos rashoda i izdataka'!$P$3:$P$575,"=36")+SUMIFS('Unos rashoda P4'!$H$3:$H$501,'Unos rashoda P4'!$A$3:$A$501,"=576",'Unos rashoda P4'!$S$3:$S$501,"=36")</f>
        <v>0</v>
      </c>
      <c r="R49" s="74">
        <f>SUMIFS('Unos rashoda i izdataka'!$J$3:$J$575,'Unos rashoda i izdataka'!$C$3:$C$575,"=581",'Unos rashoda i izdataka'!$P$3:$P$575,"=36")+SUMIFS('Unos rashoda P4'!$H$3:$H$501,'Unos rashoda P4'!$A$3:$A$501,"=581",'Unos rashoda P4'!$S$3:$S$501,"=36")</f>
        <v>0</v>
      </c>
      <c r="S49" s="74">
        <f>SUMIFS('Unos rashoda i izdataka'!$J$3:$J$575,'Unos rashoda i izdataka'!$C$3:$C$575,"=61",'Unos rashoda i izdataka'!$P$3:$P$575,"=36")+SUMIFS('Unos rashoda P4'!$H$3:$H$501,'Unos rashoda P4'!$A$3:$A$501,"=61",'Unos rashoda P4'!$S$3:$S$501,"=36")</f>
        <v>0</v>
      </c>
      <c r="T49" s="74">
        <f>SUMIFS('Unos rashoda i izdataka'!$J$3:$J$575,'Unos rashoda i izdataka'!$C$3:$C$575,"=63",'Unos rashoda i izdataka'!$P$3:$P$575,"=36")+SUMIFS('Unos rashoda P4'!$H$3:$H$501,'Unos rashoda P4'!$A$3:$A$501,"=63",'Unos rashoda P4'!$S$3:$S$501,"=36")</f>
        <v>0</v>
      </c>
      <c r="U49" s="74">
        <f>SUMIFS('Unos rashoda i izdataka'!$J$3:$J$575,'Unos rashoda i izdataka'!$C$3:$C$575,"=71",'Unos rashoda i izdataka'!$P$3:$P$575,"=36")+SUMIFS('Unos rashoda P4'!$H$3:$H$501,'Unos rashoda P4'!$A$3:$A$501,"=71",'Unos rashoda P4'!$S$3:$S$501,"=36")</f>
        <v>0</v>
      </c>
      <c r="V49" s="74">
        <f>SUMIFS('Unos rashoda i izdataka'!$J$3:$J$575,'Unos rashoda i izdataka'!$C$3:$C$575,"=81",'Unos rashoda i izdataka'!$P$3:$P$575,"=36")+SUMIFS('Unos rashoda P4'!$H$3:$H$501,'Unos rashoda P4'!$A$3:$A$501,"=81",'Unos rashoda P4'!$S$3:$S$501,"=36")</f>
        <v>0</v>
      </c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  <c r="IZ49" s="36"/>
      <c r="JA49" s="36"/>
      <c r="JB49" s="36"/>
    </row>
    <row r="50" spans="1:262" s="35" customFormat="1" ht="12.6" customHeight="1">
      <c r="A50" s="334">
        <v>362</v>
      </c>
      <c r="B50" s="12" t="s">
        <v>5295</v>
      </c>
      <c r="C50" s="70">
        <f t="shared" si="2"/>
        <v>98499</v>
      </c>
      <c r="D50" s="74"/>
      <c r="E50" s="74"/>
      <c r="F50" s="74"/>
      <c r="G50" s="74"/>
      <c r="H50" s="74"/>
      <c r="I50" s="74"/>
      <c r="J50" s="74">
        <f>SUM(J51)</f>
        <v>98499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35" customFormat="1" ht="12.6" customHeight="1">
      <c r="A51" s="334">
        <v>3621</v>
      </c>
      <c r="B51" s="12" t="s">
        <v>5296</v>
      </c>
      <c r="C51" s="70">
        <f t="shared" si="2"/>
        <v>98499</v>
      </c>
      <c r="D51" s="74"/>
      <c r="E51" s="74"/>
      <c r="F51" s="74"/>
      <c r="G51" s="74"/>
      <c r="H51" s="74"/>
      <c r="I51" s="74"/>
      <c r="J51" s="74">
        <v>98499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13" customFormat="1" ht="12.6" customHeight="1">
      <c r="A52" s="334">
        <v>37</v>
      </c>
      <c r="B52" s="10" t="s">
        <v>253</v>
      </c>
      <c r="C52" s="70">
        <f t="shared" si="2"/>
        <v>11300.3</v>
      </c>
      <c r="D52" s="74">
        <f>SUMIFS('Unos rashoda i izdataka'!$J$3:$J$575,'Unos rashoda i izdataka'!$C$3:$C$575,"=11",'Unos rashoda i izdataka'!$P$3:$P$575,"=37")+SUMIFS('Unos rashoda P4'!$H$3:$H$501,'Unos rashoda P4'!$A$3:$A$501,"=11",'Unos rashoda P4'!$S$3:$S$501,"=37")</f>
        <v>170</v>
      </c>
      <c r="E52" s="74">
        <f>SUMIFS('Unos rashoda i izdataka'!$J$3:$J$575,'Unos rashoda i izdataka'!$C$3:$C$575,"=12",'Unos rashoda i izdataka'!$P$3:$P$575,"=37")+SUMIFS('Unos rashoda P4'!$H$3:$H$501,'Unos rashoda P4'!$A$3:$A$501,"=12",'Unos rashoda P4'!$S$3:$S$501,"=37")</f>
        <v>0</v>
      </c>
      <c r="F52" s="74">
        <f>SUMIFS('Unos rashoda i izdataka'!$J$3:$J$575,'Unos rashoda i izdataka'!$C$3:$C$575,"=31",'Unos rashoda i izdataka'!$P$3:$P$575,"=37")+SUMIFS('Unos rashoda P4'!$H$3:$H$501,'Unos rashoda P4'!$A$3:$A$501,"=31",'Unos rashoda P4'!$S$3:$S$501,"=37")</f>
        <v>0</v>
      </c>
      <c r="G52" s="74">
        <f>SUMIFS('Unos rashoda i izdataka'!$J$3:$J$575,'Unos rashoda i izdataka'!$C$3:$C$575,"=41",'Unos rashoda i izdataka'!$P$3:$P$575,"=37")+SUMIFS('Unos rashoda P4'!$H$3:$H$501,'Unos rashoda P4'!$A$3:$A$501,"=41",'Unos rashoda P4'!$S$3:$S$501,"=37")</f>
        <v>0</v>
      </c>
      <c r="H52" s="74">
        <f>SUMIFS('Unos rashoda i izdataka'!$J$3:$J$575,'Unos rashoda i izdataka'!$C$3:$C$575,"=43",'Unos rashoda i izdataka'!$P$3:$P$575,"=37")+SUMIFS('Unos rashoda P4'!$H$3:$H$501,'Unos rashoda P4'!$A$3:$A$501,"=43",'Unos rashoda P4'!$S$3:$S$501,"=37")</f>
        <v>0</v>
      </c>
      <c r="I52" s="74">
        <f>SUMIFS('Unos rashoda i izdataka'!$J$3:$J$575,'Unos rashoda i izdataka'!$C$3:$C$575,"=51",'Unos rashoda i izdataka'!$P$3:$P$575,"=37")+SUMIFS('Unos rashoda P4'!$H$3:$H$501,'Unos rashoda P4'!$A$3:$A$501,"=51",'Unos rashoda P4'!$S$3:$S$501,"=37")</f>
        <v>4109.3</v>
      </c>
      <c r="J52" s="74">
        <f>SUMIFS('Unos rashoda i izdataka'!$J$3:$J$575,'Unos rashoda i izdataka'!$C$3:$C$575,"=52",'Unos rashoda i izdataka'!$P$3:$P$575,"=37")+SUMIFS('Unos rashoda P4'!$H$3:$H$501,'Unos rashoda P4'!$A$3:$A$501,"=52",'Unos rashoda P4'!$S$3:$S$501,"=37")</f>
        <v>6490</v>
      </c>
      <c r="K52" s="74">
        <f>SUMIFS('Unos rashoda i izdataka'!$J$3:$J$575,'Unos rashoda i izdataka'!$C$3:$C$575,"=552",'Unos rashoda i izdataka'!$P$3:$P$575,"=37")+SUMIFS('Unos rashoda P4'!$H$3:$H$501,'Unos rashoda P4'!$A$3:$A$501,"=552",'Unos rashoda P4'!$S$3:$S$501,"=37")</f>
        <v>0</v>
      </c>
      <c r="L52" s="74">
        <f>SUMIFS('Unos rashoda i izdataka'!$J$3:$J$575,'Unos rashoda i izdataka'!$C$3:$C$575,"=559",'Unos rashoda i izdataka'!$P$3:$P$575,"=37")+SUMIFS('Unos rashoda P4'!$H$3:$H$501,'Unos rashoda P4'!$A$3:$A$501,"=559",'Unos rashoda P4'!$S$3:$S$501,"=37")</f>
        <v>0</v>
      </c>
      <c r="M52" s="74">
        <f>SUMIFS('Unos rashoda i izdataka'!$J$3:$J$575,'Unos rashoda i izdataka'!$C$3:$C$575,"=561",'Unos rashoda i izdataka'!$P$3:$P$575,"=37")+SUMIFS('Unos rashoda P4'!$H$3:$H$501,'Unos rashoda P4'!$A$3:$A$501,"=561",'Unos rashoda P4'!$S$3:$S$501,"=37")</f>
        <v>0</v>
      </c>
      <c r="N52" s="74">
        <f>SUMIFS('Unos rashoda i izdataka'!$J$3:$J$575,'Unos rashoda i izdataka'!$C$3:$C$575,"=563",'Unos rashoda i izdataka'!$P$3:$P$575,"=37")+SUMIFS('Unos rashoda P4'!$H$3:$H$501,'Unos rashoda P4'!$A$3:$A$501,"=563",'Unos rashoda P4'!$S$3:$S$501,"=37")</f>
        <v>0</v>
      </c>
      <c r="O52" s="74">
        <f>SUMIFS('Unos rashoda i izdataka'!$J$3:$J$575,'Unos rashoda i izdataka'!$C$3:$C$575,"=573",'Unos rashoda i izdataka'!$P$3:$P$575,"=37")+SUMIFS('Unos rashoda P4'!$H$3:$H$501,'Unos rashoda P4'!$A$3:$A$501,"=573",'Unos rashoda P4'!$S$3:$S$501,"=37")</f>
        <v>0</v>
      </c>
      <c r="P52" s="74">
        <f>SUMIFS('Unos rashoda i izdataka'!$J$3:$J$575,'Unos rashoda i izdataka'!$C$3:$C$575,"=575",'Unos rashoda i izdataka'!$P$3:$P$575,"=37")+SUMIFS('Unos rashoda P4'!$H$3:$H$501,'Unos rashoda P4'!$A$3:$A$501,"=575",'Unos rashoda P4'!$S$3:$S$501,"=37")</f>
        <v>0</v>
      </c>
      <c r="Q52" s="74">
        <f>SUMIFS('Unos rashoda i izdataka'!$J$3:$J$575,'Unos rashoda i izdataka'!$Q$3:$Q$575,"=576",'Unos rashoda i izdataka'!$P$3:$P$575,"=37")+SUMIFS('Unos rashoda P4'!$H$3:$H$501,'Unos rashoda P4'!$A$3:$A$501,"=576",'Unos rashoda P4'!$S$3:$S$501,"=37")</f>
        <v>0</v>
      </c>
      <c r="R52" s="74">
        <f>SUMIFS('Unos rashoda i izdataka'!$J$3:$J$575,'Unos rashoda i izdataka'!$C$3:$C$575,"=581",'Unos rashoda i izdataka'!$P$3:$P$575,"=37")+SUMIFS('Unos rashoda P4'!$H$3:$H$501,'Unos rashoda P4'!$A$3:$A$501,"=581",'Unos rashoda P4'!$S$3:$S$501,"=37")</f>
        <v>0</v>
      </c>
      <c r="S52" s="74">
        <f>SUMIFS('Unos rashoda i izdataka'!$J$3:$J$575,'Unos rashoda i izdataka'!$C$3:$C$575,"=61",'Unos rashoda i izdataka'!$P$3:$P$575,"=37")+SUMIFS('Unos rashoda P4'!$H$3:$H$501,'Unos rashoda P4'!$A$3:$A$501,"=61",'Unos rashoda P4'!$S$3:$S$501,"=37")</f>
        <v>531</v>
      </c>
      <c r="T52" s="74">
        <f>SUMIFS('Unos rashoda i izdataka'!$J$3:$J$575,'Unos rashoda i izdataka'!$C$3:$C$575,"=63",'Unos rashoda i izdataka'!$P$3:$P$575,"=37")+SUMIFS('Unos rashoda P4'!$H$3:$H$501,'Unos rashoda P4'!$A$3:$A$501,"=63",'Unos rashoda P4'!$S$3:$S$501,"=37")</f>
        <v>0</v>
      </c>
      <c r="U52" s="74">
        <f>SUMIFS('Unos rashoda i izdataka'!$J$3:$J$575,'Unos rashoda i izdataka'!$C$3:$C$575,"=71",'Unos rashoda i izdataka'!$P$3:$P$575,"=37")+SUMIFS('Unos rashoda P4'!$H$3:$H$501,'Unos rashoda P4'!$A$3:$A$501,"=71",'Unos rashoda P4'!$S$3:$S$501,"=37")</f>
        <v>0</v>
      </c>
      <c r="V52" s="74">
        <f>SUMIFS('Unos rashoda i izdataka'!$J$3:$J$575,'Unos rashoda i izdataka'!$C$3:$C$575,"=81",'Unos rashoda i izdataka'!$P$3:$P$575,"=37")+SUMIFS('Unos rashoda P4'!$H$3:$H$501,'Unos rashoda P4'!$A$3:$A$501,"=81",'Unos rashoda P4'!$S$3:$S$501,"=37")</f>
        <v>0</v>
      </c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</row>
    <row r="53" spans="1:262" s="13" customFormat="1" ht="12.6" customHeight="1">
      <c r="A53" s="334">
        <v>372</v>
      </c>
      <c r="B53" s="10" t="s">
        <v>5286</v>
      </c>
      <c r="C53" s="70">
        <f t="shared" si="2"/>
        <v>11300.3</v>
      </c>
      <c r="D53" s="74">
        <f>SUM(D54)</f>
        <v>170</v>
      </c>
      <c r="E53" s="74"/>
      <c r="F53" s="74"/>
      <c r="G53" s="74"/>
      <c r="H53" s="74"/>
      <c r="I53" s="74">
        <f>SUM(I54)</f>
        <v>4109.3</v>
      </c>
      <c r="J53" s="74">
        <f>SUM(J54)</f>
        <v>6490</v>
      </c>
      <c r="K53" s="74"/>
      <c r="L53" s="74"/>
      <c r="M53" s="74"/>
      <c r="N53" s="74"/>
      <c r="O53" s="74"/>
      <c r="P53" s="74"/>
      <c r="Q53" s="74"/>
      <c r="R53" s="74"/>
      <c r="S53" s="74">
        <f>SUM(S54)</f>
        <v>531</v>
      </c>
      <c r="T53" s="74"/>
      <c r="U53" s="74"/>
      <c r="V53" s="74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</row>
    <row r="54" spans="1:262" s="13" customFormat="1" ht="12.6" customHeight="1">
      <c r="A54" s="334">
        <v>3721</v>
      </c>
      <c r="B54" s="10" t="s">
        <v>5287</v>
      </c>
      <c r="C54" s="70">
        <f t="shared" si="2"/>
        <v>11300.3</v>
      </c>
      <c r="D54" s="74">
        <v>170</v>
      </c>
      <c r="E54" s="74"/>
      <c r="F54" s="74"/>
      <c r="G54" s="74"/>
      <c r="H54" s="74"/>
      <c r="I54" s="74">
        <v>4109.3</v>
      </c>
      <c r="J54" s="74">
        <v>6490</v>
      </c>
      <c r="K54" s="74"/>
      <c r="L54" s="74"/>
      <c r="M54" s="74"/>
      <c r="N54" s="74"/>
      <c r="O54" s="74"/>
      <c r="P54" s="74"/>
      <c r="Q54" s="74"/>
      <c r="R54" s="74"/>
      <c r="S54" s="74">
        <v>531</v>
      </c>
      <c r="T54" s="74"/>
      <c r="U54" s="74"/>
      <c r="V54" s="74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13" customFormat="1" ht="12.6" customHeight="1">
      <c r="A55" s="334">
        <v>38</v>
      </c>
      <c r="B55" s="10" t="s">
        <v>202</v>
      </c>
      <c r="C55" s="70">
        <f t="shared" si="2"/>
        <v>663.58</v>
      </c>
      <c r="D55" s="74">
        <f>SUMIFS('Unos rashoda i izdataka'!$J$3:$J$575,'Unos rashoda i izdataka'!$C$3:$C$575,"=11",'Unos rashoda i izdataka'!$P$3:$P$575,"=38")+SUMIFS('Unos rashoda P4'!$H$3:$H$501,'Unos rashoda P4'!$A$3:$A$501,"=11",'Unos rashoda P4'!$S$3:$S$501,"=38")</f>
        <v>0</v>
      </c>
      <c r="E55" s="74">
        <f>SUMIFS('Unos rashoda i izdataka'!$J$3:$J$575,'Unos rashoda i izdataka'!$C$3:$C$575,"=12",'Unos rashoda i izdataka'!$P$3:$P$575,"=38")+SUMIFS('Unos rashoda P4'!$H$3:$H$501,'Unos rashoda P4'!$A$3:$A$501,"=12",'Unos rashoda P4'!$S$3:$S$501,"=38")</f>
        <v>0</v>
      </c>
      <c r="F55" s="74">
        <f>SUMIFS('Unos rashoda i izdataka'!$J$3:$J$575,'Unos rashoda i izdataka'!$C$3:$C$575,"=31",'Unos rashoda i izdataka'!$P$3:$P$575,"=38")+SUMIFS('Unos rashoda P4'!$H$3:$H$501,'Unos rashoda P4'!$A$3:$A$501,"=31",'Unos rashoda P4'!$S$3:$S$501,"=38")</f>
        <v>0</v>
      </c>
      <c r="G55" s="74">
        <f>SUMIFS('Unos rashoda i izdataka'!$J$3:$J$575,'Unos rashoda i izdataka'!$C$3:$C$575,"=41",'Unos rashoda i izdataka'!$P$3:$P$575,"=38")+SUMIFS('Unos rashoda P4'!$H$3:$H$501,'Unos rashoda P4'!$A$3:$A$501,"=41",'Unos rashoda P4'!$S$3:$S$501,"=38")</f>
        <v>0</v>
      </c>
      <c r="H55" s="74">
        <f>SUMIFS('Unos rashoda i izdataka'!$J$3:$J$575,'Unos rashoda i izdataka'!$C$3:$C$575,"=43",'Unos rashoda i izdataka'!$P$3:$P$575,"=38")+SUMIFS('Unos rashoda P4'!$H$3:$H$501,'Unos rashoda P4'!$A$3:$A$501,"=43",'Unos rashoda P4'!$S$3:$S$501,"=38")</f>
        <v>525.58000000000004</v>
      </c>
      <c r="I55" s="74">
        <f>SUMIFS('Unos rashoda i izdataka'!$J$3:$J$575,'Unos rashoda i izdataka'!$C$3:$C$575,"=51",'Unos rashoda i izdataka'!$P$3:$P$575,"=38")+SUMIFS('Unos rashoda P4'!$H$3:$H$501,'Unos rashoda P4'!$A$3:$A$501,"=51",'Unos rashoda P4'!$S$3:$S$501,"=38")</f>
        <v>0</v>
      </c>
      <c r="J55" s="74">
        <f>SUMIFS('Unos rashoda i izdataka'!$J$3:$J$575,'Unos rashoda i izdataka'!$C$3:$C$575,"=52",'Unos rashoda i izdataka'!$P$3:$P$575,"=38")+SUMIFS('Unos rashoda P4'!$H$3:$H$501,'Unos rashoda P4'!$A$3:$A$501,"=52",'Unos rashoda P4'!$S$3:$S$501,"=38")</f>
        <v>138</v>
      </c>
      <c r="K55" s="74">
        <f>SUMIFS('Unos rashoda i izdataka'!$J$3:$J$575,'Unos rashoda i izdataka'!$C$3:$C$575,"=552",'Unos rashoda i izdataka'!$P$3:$P$575,"=38")+SUMIFS('Unos rashoda P4'!$H$3:$H$501,'Unos rashoda P4'!$A$3:$A$501,"=552",'Unos rashoda P4'!$S$3:$S$501,"=38")</f>
        <v>0</v>
      </c>
      <c r="L55" s="74">
        <f>SUMIFS('Unos rashoda i izdataka'!$J$3:$J$575,'Unos rashoda i izdataka'!$C$3:$C$575,"=559",'Unos rashoda i izdataka'!$P$3:$P$575,"=38")+SUMIFS('Unos rashoda P4'!$H$3:$H$501,'Unos rashoda P4'!$A$3:$A$501,"=559",'Unos rashoda P4'!$S$3:$S$501,"=38")</f>
        <v>0</v>
      </c>
      <c r="M55" s="74">
        <f>SUMIFS('Unos rashoda i izdataka'!$J$3:$J$575,'Unos rashoda i izdataka'!$C$3:$C$575,"=561",'Unos rashoda i izdataka'!$P$3:$P$575,"=38")+SUMIFS('Unos rashoda P4'!$H$3:$H$501,'Unos rashoda P4'!$A$3:$A$501,"=561",'Unos rashoda P4'!$S$3:$S$501,"=38")</f>
        <v>0</v>
      </c>
      <c r="N55" s="74">
        <f>SUMIFS('Unos rashoda i izdataka'!$J$3:$J$575,'Unos rashoda i izdataka'!$C$3:$C$575,"=563",'Unos rashoda i izdataka'!$P$3:$P$575,"=38")+SUMIFS('Unos rashoda P4'!$H$3:$H$501,'Unos rashoda P4'!$A$3:$A$501,"=563",'Unos rashoda P4'!$S$3:$S$501,"=38")</f>
        <v>0</v>
      </c>
      <c r="O55" s="74">
        <f>SUMIFS('Unos rashoda i izdataka'!$J$3:$J$575,'Unos rashoda i izdataka'!$C$3:$C$575,"=573",'Unos rashoda i izdataka'!$P$3:$P$575,"=38")+SUMIFS('Unos rashoda P4'!$H$3:$H$501,'Unos rashoda P4'!$A$3:$A$501,"=573",'Unos rashoda P4'!$S$3:$S$501,"=38")</f>
        <v>0</v>
      </c>
      <c r="P55" s="74">
        <f>SUMIFS('Unos rashoda i izdataka'!$J$3:$J$575,'Unos rashoda i izdataka'!$C$3:$C$575,"=575",'Unos rashoda i izdataka'!$P$3:$P$575,"=38")+SUMIFS('Unos rashoda P4'!$H$3:$H$501,'Unos rashoda P4'!$A$3:$A$501,"=575",'Unos rashoda P4'!$S$3:$S$501,"=38")</f>
        <v>0</v>
      </c>
      <c r="Q55" s="74">
        <f>SUMIFS('Unos rashoda i izdataka'!$J$3:$J$575,'Unos rashoda i izdataka'!$Q$3:$Q$575,"=576",'Unos rashoda i izdataka'!$P$3:$P$575,"=38")+SUMIFS('Unos rashoda P4'!$H$3:$H$501,'Unos rashoda P4'!$A$3:$A$501,"=576",'Unos rashoda P4'!$S$3:$S$501,"=38")</f>
        <v>0</v>
      </c>
      <c r="R55" s="74">
        <f>SUMIFS('Unos rashoda i izdataka'!$J$3:$J$575,'Unos rashoda i izdataka'!$C$3:$C$575,"=581",'Unos rashoda i izdataka'!$P$3:$P$575,"=38")+SUMIFS('Unos rashoda P4'!$H$3:$H$501,'Unos rashoda P4'!$A$3:$A$501,"=581",'Unos rashoda P4'!$S$3:$S$501,"=38")</f>
        <v>0</v>
      </c>
      <c r="S55" s="74">
        <f>SUMIFS('Unos rashoda i izdataka'!$J$3:$J$575,'Unos rashoda i izdataka'!$C$3:$C$575,"=61",'Unos rashoda i izdataka'!$P$3:$P$575,"=38")+SUMIFS('Unos rashoda P4'!$H$3:$H$501,'Unos rashoda P4'!$A$3:$A$501,"=61",'Unos rashoda P4'!$S$3:$S$501,"=38")</f>
        <v>0</v>
      </c>
      <c r="T55" s="74">
        <f>SUMIFS('Unos rashoda i izdataka'!$J$3:$J$575,'Unos rashoda i izdataka'!$C$3:$C$575,"=63",'Unos rashoda i izdataka'!$P$3:$P$575,"=38")+SUMIFS('Unos rashoda P4'!$H$3:$H$501,'Unos rashoda P4'!$A$3:$A$501,"=63",'Unos rashoda P4'!$S$3:$S$501,"=38")</f>
        <v>0</v>
      </c>
      <c r="U55" s="74">
        <f>SUMIFS('Unos rashoda i izdataka'!$J$3:$J$575,'Unos rashoda i izdataka'!$C$3:$C$575,"=71",'Unos rashoda i izdataka'!$P$3:$P$575,"=38")+SUMIFS('Unos rashoda P4'!$H$3:$H$501,'Unos rashoda P4'!$A$3:$A$501,"=71",'Unos rashoda P4'!$S$3:$S$501,"=38")</f>
        <v>0</v>
      </c>
      <c r="V55" s="74">
        <f>SUMIFS('Unos rashoda i izdataka'!$J$3:$J$575,'Unos rashoda i izdataka'!$C$3:$C$575,"=81",'Unos rashoda i izdataka'!$P$3:$P$575,"=38")+SUMIFS('Unos rashoda P4'!$H$3:$H$501,'Unos rashoda P4'!$A$3:$A$501,"=81",'Unos rashoda P4'!$S$3:$S$501,"=38")</f>
        <v>0</v>
      </c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</row>
    <row r="56" spans="1:262" s="13" customFormat="1" ht="12.6" customHeight="1">
      <c r="A56" s="334">
        <v>381</v>
      </c>
      <c r="B56" s="10" t="s">
        <v>5288</v>
      </c>
      <c r="C56" s="70">
        <f t="shared" si="2"/>
        <v>0</v>
      </c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</row>
    <row r="57" spans="1:262" s="13" customFormat="1" ht="12.6" customHeight="1">
      <c r="A57" s="334">
        <v>3811</v>
      </c>
      <c r="B57" s="10" t="s">
        <v>55</v>
      </c>
      <c r="C57" s="70">
        <f t="shared" si="2"/>
        <v>0</v>
      </c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</row>
    <row r="58" spans="1:262" s="14" customFormat="1" ht="12.6" customHeight="1">
      <c r="A58" s="335">
        <v>4</v>
      </c>
      <c r="B58" s="67" t="s">
        <v>203</v>
      </c>
      <c r="C58" s="66">
        <f t="shared" ref="C58:C72" si="3">SUM(D58:V58)</f>
        <v>2099334</v>
      </c>
      <c r="D58" s="69">
        <f t="shared" ref="D58:V58" si="4">+D59+D60+D70+D71+D72</f>
        <v>791126</v>
      </c>
      <c r="E58" s="69">
        <f t="shared" si="4"/>
        <v>0</v>
      </c>
      <c r="F58" s="69">
        <f t="shared" si="4"/>
        <v>0</v>
      </c>
      <c r="G58" s="69">
        <f t="shared" si="4"/>
        <v>0</v>
      </c>
      <c r="H58" s="69">
        <f t="shared" si="4"/>
        <v>202</v>
      </c>
      <c r="I58" s="69">
        <f t="shared" si="4"/>
        <v>0</v>
      </c>
      <c r="J58" s="69">
        <f t="shared" si="4"/>
        <v>42622</v>
      </c>
      <c r="K58" s="69">
        <f t="shared" si="4"/>
        <v>0</v>
      </c>
      <c r="L58" s="69">
        <f t="shared" si="4"/>
        <v>0</v>
      </c>
      <c r="M58" s="69">
        <f t="shared" si="4"/>
        <v>0</v>
      </c>
      <c r="N58" s="69">
        <f t="shared" si="4"/>
        <v>1264630</v>
      </c>
      <c r="O58" s="69">
        <f t="shared" si="4"/>
        <v>0</v>
      </c>
      <c r="P58" s="69">
        <f t="shared" si="4"/>
        <v>0</v>
      </c>
      <c r="Q58" s="69">
        <f t="shared" si="4"/>
        <v>0</v>
      </c>
      <c r="R58" s="69">
        <f t="shared" si="4"/>
        <v>0</v>
      </c>
      <c r="S58" s="69">
        <f t="shared" si="4"/>
        <v>754</v>
      </c>
      <c r="T58" s="69">
        <f t="shared" si="4"/>
        <v>0</v>
      </c>
      <c r="U58" s="69">
        <f t="shared" si="4"/>
        <v>0</v>
      </c>
      <c r="V58" s="69">
        <f t="shared" si="4"/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3">
        <v>41</v>
      </c>
      <c r="B59" s="8" t="s">
        <v>254</v>
      </c>
      <c r="C59" s="71">
        <f t="shared" si="3"/>
        <v>0</v>
      </c>
      <c r="D59" s="74">
        <f>SUMIFS('Unos rashoda i izdataka'!$J$3:$J$575,'Unos rashoda i izdataka'!$C$3:$C$575,"=11",'Unos rashoda i izdataka'!$P$3:$P$575,"=41")+SUMIFS('Unos rashoda P4'!$H$3:$H$501,'Unos rashoda P4'!$A$3:$A$501,"=11",'Unos rashoda P4'!$S$3:$S$501,"=41")</f>
        <v>0</v>
      </c>
      <c r="E59" s="74">
        <f>SUMIFS('Unos rashoda i izdataka'!$J$3:$J$575,'Unos rashoda i izdataka'!$C$3:$C$575,"=12",'Unos rashoda i izdataka'!$P$3:$P$575,"=41")+SUMIFS('Unos rashoda P4'!$H$3:$H$501,'Unos rashoda P4'!$A$3:$A$501,"=12",'Unos rashoda P4'!$S$3:$S$501,"=41")</f>
        <v>0</v>
      </c>
      <c r="F59" s="74">
        <f>SUMIFS('Unos rashoda i izdataka'!$J$3:$J$575,'Unos rashoda i izdataka'!$C$3:$C$575,"=31",'Unos rashoda i izdataka'!$P$3:$P$575,"=41")+SUMIFS('Unos rashoda P4'!$H$3:$H$501,'Unos rashoda P4'!$A$3:$A$501,"=31",'Unos rashoda P4'!$S$3:$S$501,"=41")</f>
        <v>0</v>
      </c>
      <c r="G59" s="74">
        <f>SUMIFS('Unos rashoda i izdataka'!$J$3:$J$575,'Unos rashoda i izdataka'!$C$3:$C$575,"=41",'Unos rashoda i izdataka'!$P$3:$P$575,"=41")+SUMIFS('Unos rashoda P4'!$H$3:$H$501,'Unos rashoda P4'!$A$3:$A$501,"=41",'Unos rashoda P4'!$S$3:$S$501,"=41")</f>
        <v>0</v>
      </c>
      <c r="H59" s="74">
        <f>SUMIFS('Unos rashoda i izdataka'!$J$3:$J$575,'Unos rashoda i izdataka'!$C$3:$C$575,"=43",'Unos rashoda i izdataka'!$P$3:$P$575,"=41")+SUMIFS('Unos rashoda P4'!$H$3:$H$501,'Unos rashoda P4'!$A$3:$A$501,"=43",'Unos rashoda P4'!$S$3:$S$501,"=41")</f>
        <v>0</v>
      </c>
      <c r="I59" s="74">
        <f>SUMIFS('Unos rashoda i izdataka'!$J$3:$J$575,'Unos rashoda i izdataka'!$C$3:$C$575,"=51",'Unos rashoda i izdataka'!$P$3:$P$575,"=41")+SUMIFS('Unos rashoda P4'!$H$3:$H$501,'Unos rashoda P4'!$A$3:$A$501,"=51",'Unos rashoda P4'!$S$3:$S$501,"=41")</f>
        <v>0</v>
      </c>
      <c r="J59" s="74">
        <f>SUMIFS('Unos rashoda i izdataka'!$J$3:$J$575,'Unos rashoda i izdataka'!$C$3:$C$575,"=52",'Unos rashoda i izdataka'!$P$3:$P$575,"=41")+SUMIFS('Unos rashoda P4'!$H$3:$H$501,'Unos rashoda P4'!$A$3:$A$501,"=52",'Unos rashoda P4'!$S$3:$S$501,"=41")</f>
        <v>0</v>
      </c>
      <c r="K59" s="74">
        <f>SUMIFS('Unos rashoda i izdataka'!$J$3:$J$575,'Unos rashoda i izdataka'!$C$3:$C$575,"=552",'Unos rashoda i izdataka'!$P$3:$P$575,"=41")+SUMIFS('Unos rashoda P4'!$H$3:$H$501,'Unos rashoda P4'!$A$3:$A$501,"=552",'Unos rashoda P4'!$S$3:$S$501,"=41")</f>
        <v>0</v>
      </c>
      <c r="L59" s="74">
        <f>SUMIFS('Unos rashoda i izdataka'!$J$3:$J$575,'Unos rashoda i izdataka'!$C$3:$C$575,"=559",'Unos rashoda i izdataka'!$P$3:$P$575,"=41")+SUMIFS('Unos rashoda P4'!$H$3:$H$501,'Unos rashoda P4'!$A$3:$A$501,"=559",'Unos rashoda P4'!$S$3:$S$501,"=41")</f>
        <v>0</v>
      </c>
      <c r="M59" s="74">
        <f>SUMIFS('Unos rashoda i izdataka'!$J$3:$J$575,'Unos rashoda i izdataka'!$C$3:$C$575,"=561",'Unos rashoda i izdataka'!$P$3:$P$575,"=41")+SUMIFS('Unos rashoda P4'!$H$3:$H$501,'Unos rashoda P4'!$A$3:$A$501,"=561",'Unos rashoda P4'!$S$3:$S$501,"=41")</f>
        <v>0</v>
      </c>
      <c r="N59" s="74">
        <f>SUMIFS('Unos rashoda i izdataka'!$J$3:$J$575,'Unos rashoda i izdataka'!$C$3:$C$575,"=563",'Unos rashoda i izdataka'!$P$3:$P$575,"=41")+SUMIFS('Unos rashoda P4'!$H$3:$H$501,'Unos rashoda P4'!$A$3:$A$501,"=563",'Unos rashoda P4'!$S$3:$S$501,"=41")</f>
        <v>0</v>
      </c>
      <c r="O59" s="74">
        <f>SUMIFS('Unos rashoda i izdataka'!$J$3:$J$575,'Unos rashoda i izdataka'!$C$3:$C$575,"=573",'Unos rashoda i izdataka'!$P$3:$P$575,"=41")+SUMIFS('Unos rashoda P4'!$H$3:$H$501,'Unos rashoda P4'!$A$3:$A$501,"=573",'Unos rashoda P4'!$S$3:$S$501,"=41")</f>
        <v>0</v>
      </c>
      <c r="P59" s="74">
        <f>SUMIFS('Unos rashoda i izdataka'!$J$3:$J$575,'Unos rashoda i izdataka'!$C$3:$C$575,"=575",'Unos rashoda i izdataka'!$P$3:$P$575,"=41")+SUMIFS('Unos rashoda P4'!$H$3:$H$501,'Unos rashoda P4'!$A$3:$A$501,"=575",'Unos rashoda P4'!$S$3:$S$501,"=41")</f>
        <v>0</v>
      </c>
      <c r="Q59" s="74">
        <f>SUMIFS('Unos rashoda i izdataka'!$J$3:$J$575,'Unos rashoda i izdataka'!$Q$3:$Q$575,"=576",'Unos rashoda i izdataka'!$P$3:$P$575,"=41")+SUMIFS('Unos rashoda P4'!$H$3:$H$501,'Unos rashoda P4'!$A$3:$A$501,"=576",'Unos rashoda P4'!$S$3:$S$501,"=41")</f>
        <v>0</v>
      </c>
      <c r="R59" s="74">
        <f>SUMIFS('Unos rashoda i izdataka'!$J$3:$J$575,'Unos rashoda i izdataka'!$C$3:$C$575,"=581",'Unos rashoda i izdataka'!$P$3:$P$575,"=41")+SUMIFS('Unos rashoda P4'!$H$3:$H$501,'Unos rashoda P4'!$A$3:$A$501,"=581",'Unos rashoda P4'!$S$3:$S$501,"=41")</f>
        <v>0</v>
      </c>
      <c r="S59" s="74">
        <f>SUMIFS('Unos rashoda i izdataka'!$J$3:$J$575,'Unos rashoda i izdataka'!$C$3:$C$575,"=61",'Unos rashoda i izdataka'!$P$3:$P$575,"=41")+SUMIFS('Unos rashoda P4'!$H$3:$H$501,'Unos rashoda P4'!$A$3:$A$501,"=61",'Unos rashoda P4'!$S$3:$S$501,"=41")</f>
        <v>0</v>
      </c>
      <c r="T59" s="74">
        <f>SUMIFS('Unos rashoda i izdataka'!$J$3:$J$575,'Unos rashoda i izdataka'!$C$3:$C$575,"=63",'Unos rashoda i izdataka'!$P$3:$P$575,"=41")+SUMIFS('Unos rashoda P4'!$H$3:$H$501,'Unos rashoda P4'!$A$3:$A$501,"=63",'Unos rashoda P4'!$S$3:$S$501,"=41")</f>
        <v>0</v>
      </c>
      <c r="U59" s="74">
        <f>SUMIFS('Unos rashoda i izdataka'!$J$3:$J$575,'Unos rashoda i izdataka'!$C$3:$C$575,"=71",'Unos rashoda i izdataka'!$P$3:$P$575,"=41")+SUMIFS('Unos rashoda P4'!$H$3:$H$501,'Unos rashoda P4'!$A$3:$A$501,"=71",'Unos rashoda P4'!$S$3:$S$501,"=41")</f>
        <v>0</v>
      </c>
      <c r="V59" s="74">
        <f>SUMIFS('Unos rashoda i izdataka'!$J$3:$J$575,'Unos rashoda i izdataka'!$C$3:$C$575,"=81",'Unos rashoda i izdataka'!$P$3:$P$575,"=41")+SUMIFS('Unos rashoda P4'!$H$3:$H$501,'Unos rashoda P4'!$A$3:$A$501,"=81",'Unos rashoda P4'!$S$3:$S$501,"=41")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13" customFormat="1" ht="12.6" customHeight="1">
      <c r="A60" s="334">
        <v>42</v>
      </c>
      <c r="B60" s="10" t="s">
        <v>231</v>
      </c>
      <c r="C60" s="71">
        <f t="shared" si="3"/>
        <v>2099334</v>
      </c>
      <c r="D60" s="74">
        <f>SUMIFS('Unos rashoda i izdataka'!$J$3:$J$575,'Unos rashoda i izdataka'!$C$3:$C$575,"=11",'Unos rashoda i izdataka'!$P$3:$P$575,"=42")+SUMIFS('Unos rashoda P4'!$H$3:$H$501,'Unos rashoda P4'!$A$3:$A$501,"=11",'Unos rashoda P4'!$S$3:$S$501,"=42")</f>
        <v>791126</v>
      </c>
      <c r="E60" s="74">
        <f>SUMIFS('Unos rashoda i izdataka'!$J$3:$J$575,'Unos rashoda i izdataka'!$C$3:$C$575,"=12",'Unos rashoda i izdataka'!$P$3:$P$575,"=42")+SUMIFS('Unos rashoda P4'!$H$3:$H$501,'Unos rashoda P4'!$A$3:$A$501,"=12",'Unos rashoda P4'!$S$3:$S$501,"=42")</f>
        <v>0</v>
      </c>
      <c r="F60" s="74">
        <f>SUMIFS('Unos rashoda i izdataka'!$J$3:$J$575,'Unos rashoda i izdataka'!$C$3:$C$575,"=31",'Unos rashoda i izdataka'!$P$3:$P$575,"=42")+SUMIFS('Unos rashoda P4'!$H$3:$H$501,'Unos rashoda P4'!$A$3:$A$501,"=31",'Unos rashoda P4'!$S$3:$S$501,"=42")</f>
        <v>0</v>
      </c>
      <c r="G60" s="74">
        <f>SUMIFS('Unos rashoda i izdataka'!$J$3:$J$575,'Unos rashoda i izdataka'!$C$3:$C$575,"=41",'Unos rashoda i izdataka'!$P$3:$P$575,"=42")+SUMIFS('Unos rashoda P4'!$H$3:$H$501,'Unos rashoda P4'!$A$3:$A$501,"=41",'Unos rashoda P4'!$S$3:$S$501,"=42")</f>
        <v>0</v>
      </c>
      <c r="H60" s="74">
        <f>SUMIFS('Unos rashoda i izdataka'!$J$3:$J$575,'Unos rashoda i izdataka'!$C$3:$C$575,"=43",'Unos rashoda i izdataka'!$P$3:$P$575,"=42")+SUMIFS('Unos rashoda P4'!$H$3:$H$501,'Unos rashoda P4'!$A$3:$A$501,"=43",'Unos rashoda P4'!$S$3:$S$501,"=42")</f>
        <v>202</v>
      </c>
      <c r="I60" s="74">
        <f>SUMIFS('Unos rashoda i izdataka'!$J$3:$J$575,'Unos rashoda i izdataka'!$C$3:$C$575,"=51",'Unos rashoda i izdataka'!$P$3:$P$575,"=42")+SUMIFS('Unos rashoda P4'!$H$3:$H$501,'Unos rashoda P4'!$A$3:$A$501,"=51",'Unos rashoda P4'!$S$3:$S$501,"=42")</f>
        <v>0</v>
      </c>
      <c r="J60" s="74">
        <f>SUMIFS('Unos rashoda i izdataka'!$J$3:$J$575,'Unos rashoda i izdataka'!$C$3:$C$575,"=52",'Unos rashoda i izdataka'!$P$3:$P$575,"=42")+SUMIFS('Unos rashoda P4'!$H$3:$H$501,'Unos rashoda P4'!$A$3:$A$501,"=52",'Unos rashoda P4'!$S$3:$S$501,"=42")</f>
        <v>42622</v>
      </c>
      <c r="K60" s="74">
        <f>SUMIFS('Unos rashoda i izdataka'!$J$3:$J$575,'Unos rashoda i izdataka'!$C$3:$C$575,"=552",'Unos rashoda i izdataka'!$P$3:$P$575,"=42")+SUMIFS('Unos rashoda P4'!$H$3:$H$501,'Unos rashoda P4'!$A$3:$A$501,"=552",'Unos rashoda P4'!$S$3:$S$501,"=42")</f>
        <v>0</v>
      </c>
      <c r="L60" s="74">
        <f>SUMIFS('Unos rashoda i izdataka'!$J$3:$J$575,'Unos rashoda i izdataka'!$C$3:$C$575,"=559",'Unos rashoda i izdataka'!$P$3:$P$575,"=42")+SUMIFS('Unos rashoda P4'!$H$3:$H$501,'Unos rashoda P4'!$A$3:$A$501,"=559",'Unos rashoda P4'!$S$3:$S$501,"=42")</f>
        <v>0</v>
      </c>
      <c r="M60" s="74">
        <f>SUMIFS('Unos rashoda i izdataka'!$J$3:$J$575,'Unos rashoda i izdataka'!$C$3:$C$575,"=561",'Unos rashoda i izdataka'!$P$3:$P$575,"=42")+SUMIFS('Unos rashoda P4'!$H$3:$H$501,'Unos rashoda P4'!$A$3:$A$501,"=561",'Unos rashoda P4'!$S$3:$S$501,"=42")</f>
        <v>0</v>
      </c>
      <c r="N60" s="74">
        <f>SUMIFS('Unos rashoda i izdataka'!$J$3:$J$575,'Unos rashoda i izdataka'!$C$3:$C$575,"=563",'Unos rashoda i izdataka'!$P$3:$P$575,"=42")+SUMIFS('Unos rashoda P4'!$H$3:$H$501,'Unos rashoda P4'!$A$3:$A$501,"=563",'Unos rashoda P4'!$S$3:$S$501,"=42")</f>
        <v>1264630</v>
      </c>
      <c r="O60" s="74">
        <f>SUMIFS('Unos rashoda i izdataka'!$J$3:$J$575,'Unos rashoda i izdataka'!$C$3:$C$575,"=573",'Unos rashoda i izdataka'!$P$3:$P$575,"=42")+SUMIFS('Unos rashoda P4'!$H$3:$H$501,'Unos rashoda P4'!$A$3:$A$501,"=573",'Unos rashoda P4'!$S$3:$S$501,"=42")</f>
        <v>0</v>
      </c>
      <c r="P60" s="74">
        <f>SUMIFS('Unos rashoda i izdataka'!$J$3:$J$575,'Unos rashoda i izdataka'!$C$3:$C$575,"=575",'Unos rashoda i izdataka'!$P$3:$P$575,"=42")+SUMIFS('Unos rashoda P4'!$H$3:$H$501,'Unos rashoda P4'!$A$3:$A$501,"=575",'Unos rashoda P4'!$S$3:$S$501,"=42")</f>
        <v>0</v>
      </c>
      <c r="Q60" s="74">
        <f>SUMIFS('Unos rashoda i izdataka'!$J$3:$J$575,'Unos rashoda i izdataka'!$Q$3:$Q$575,"=576",'Unos rashoda i izdataka'!$P$3:$P$575,"=42")+SUMIFS('Unos rashoda P4'!$H$3:$H$501,'Unos rashoda P4'!$A$3:$A$501,"=576",'Unos rashoda P4'!$S$3:$S$501,"=42")</f>
        <v>0</v>
      </c>
      <c r="R60" s="74">
        <f>SUMIFS('Unos rashoda i izdataka'!$J$3:$J$575,'Unos rashoda i izdataka'!$C$3:$C$575,"=581",'Unos rashoda i izdataka'!$P$3:$P$575,"=42")+SUMIFS('Unos rashoda P4'!$H$3:$H$501,'Unos rashoda P4'!$A$3:$A$501,"=581",'Unos rashoda P4'!$S$3:$S$501,"=42")</f>
        <v>0</v>
      </c>
      <c r="S60" s="74">
        <f>SUMIFS('Unos rashoda i izdataka'!$J$3:$J$575,'Unos rashoda i izdataka'!$C$3:$C$575,"=61",'Unos rashoda i izdataka'!$P$3:$P$575,"=42")+SUMIFS('Unos rashoda P4'!$H$3:$H$501,'Unos rashoda P4'!$A$3:$A$501,"=61",'Unos rashoda P4'!$S$3:$S$501,"=42")</f>
        <v>754</v>
      </c>
      <c r="T60" s="74">
        <f>SUMIFS('Unos rashoda i izdataka'!$J$3:$J$575,'Unos rashoda i izdataka'!$C$3:$C$575,"=63",'Unos rashoda i izdataka'!$P$3:$P$575,"=42")+SUMIFS('Unos rashoda P4'!$H$3:$H$501,'Unos rashoda P4'!$A$3:$A$501,"=63",'Unos rashoda P4'!$S$3:$S$501,"=42")</f>
        <v>0</v>
      </c>
      <c r="U60" s="74">
        <f>SUMIFS('Unos rashoda i izdataka'!$J$3:$J$575,'Unos rashoda i izdataka'!$C$3:$C$575,"=71",'Unos rashoda i izdataka'!$P$3:$P$575,"=42")+SUMIFS('Unos rashoda P4'!$H$3:$H$501,'Unos rashoda P4'!$A$3:$A$501,"=71",'Unos rashoda P4'!$S$3:$S$501,"=42")</f>
        <v>0</v>
      </c>
      <c r="V60" s="74">
        <f>SUMIFS('Unos rashoda i izdataka'!$J$3:$J$575,'Unos rashoda i izdataka'!$C$3:$C$575,"=81",'Unos rashoda i izdataka'!$P$3:$P$575,"=42")+SUMIFS('Unos rashoda P4'!$H$3:$H$501,'Unos rashoda P4'!$A$3:$A$501,"=81",'Unos rashoda P4'!$S$3:$S$501,"=42")</f>
        <v>0</v>
      </c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13" customFormat="1" ht="12.6" customHeight="1">
      <c r="A61" s="334">
        <v>421</v>
      </c>
      <c r="B61" s="10" t="s">
        <v>5289</v>
      </c>
      <c r="C61" s="71">
        <f t="shared" si="3"/>
        <v>2054018</v>
      </c>
      <c r="D61" s="74">
        <f>SUM(D62)</f>
        <v>788910</v>
      </c>
      <c r="E61" s="74"/>
      <c r="F61" s="74"/>
      <c r="G61" s="74"/>
      <c r="H61" s="74"/>
      <c r="I61" s="74"/>
      <c r="J61" s="74">
        <f>SUM(J62)</f>
        <v>478</v>
      </c>
      <c r="K61" s="74"/>
      <c r="L61" s="74"/>
      <c r="M61" s="74"/>
      <c r="N61" s="74">
        <f>SUM(N62)</f>
        <v>1264630</v>
      </c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13" customFormat="1" ht="12.6" customHeight="1">
      <c r="A62" s="334">
        <v>4212</v>
      </c>
      <c r="B62" s="10" t="s">
        <v>60</v>
      </c>
      <c r="C62" s="71">
        <f t="shared" si="3"/>
        <v>2054018</v>
      </c>
      <c r="D62" s="74">
        <v>788910</v>
      </c>
      <c r="E62" s="74"/>
      <c r="F62" s="74"/>
      <c r="G62" s="74"/>
      <c r="H62" s="74"/>
      <c r="I62" s="74"/>
      <c r="J62" s="74">
        <v>478</v>
      </c>
      <c r="K62" s="74"/>
      <c r="L62" s="74"/>
      <c r="M62" s="74"/>
      <c r="N62" s="74">
        <v>1264630</v>
      </c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13" customFormat="1" ht="12.6" customHeight="1">
      <c r="A63" s="334">
        <v>422</v>
      </c>
      <c r="B63" s="10" t="s">
        <v>5290</v>
      </c>
      <c r="C63" s="71">
        <f t="shared" si="3"/>
        <v>37779</v>
      </c>
      <c r="D63" s="74">
        <f>SUM(D64:D67)</f>
        <v>2216</v>
      </c>
      <c r="E63" s="74"/>
      <c r="F63" s="74"/>
      <c r="G63" s="74"/>
      <c r="H63" s="74"/>
      <c r="I63" s="74"/>
      <c r="J63" s="74">
        <f>SUM(J64:J67)</f>
        <v>35563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13" customFormat="1" ht="12.6" customHeight="1">
      <c r="A64" s="334">
        <v>4221</v>
      </c>
      <c r="B64" s="10" t="s">
        <v>95</v>
      </c>
      <c r="C64" s="71">
        <f t="shared" si="3"/>
        <v>34371</v>
      </c>
      <c r="D64" s="74"/>
      <c r="E64" s="74"/>
      <c r="F64" s="74"/>
      <c r="G64" s="74"/>
      <c r="H64" s="74"/>
      <c r="I64" s="74"/>
      <c r="J64" s="74">
        <v>34371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13" customFormat="1" ht="12.6" customHeight="1">
      <c r="A65" s="334">
        <v>4222</v>
      </c>
      <c r="B65" s="10" t="s">
        <v>106</v>
      </c>
      <c r="C65" s="71">
        <f t="shared" si="3"/>
        <v>1778</v>
      </c>
      <c r="D65" s="74">
        <v>1778</v>
      </c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13" customFormat="1" ht="12.6" customHeight="1">
      <c r="A66" s="334">
        <v>4225</v>
      </c>
      <c r="B66" s="10" t="s">
        <v>116</v>
      </c>
      <c r="C66" s="71">
        <f t="shared" si="3"/>
        <v>438</v>
      </c>
      <c r="D66" s="74">
        <v>438</v>
      </c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13" customFormat="1" ht="12.6" customHeight="1">
      <c r="A67" s="334">
        <v>4227</v>
      </c>
      <c r="B67" s="10" t="s">
        <v>129</v>
      </c>
      <c r="C67" s="71">
        <f t="shared" si="3"/>
        <v>1192</v>
      </c>
      <c r="D67" s="74"/>
      <c r="E67" s="74"/>
      <c r="F67" s="74"/>
      <c r="G67" s="74"/>
      <c r="H67" s="74"/>
      <c r="I67" s="74"/>
      <c r="J67" s="74">
        <v>1192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13" customFormat="1" ht="12.6" customHeight="1">
      <c r="A68" s="334">
        <v>424</v>
      </c>
      <c r="B68" s="10" t="s">
        <v>5291</v>
      </c>
      <c r="C68" s="71">
        <f t="shared" si="3"/>
        <v>5760</v>
      </c>
      <c r="D68" s="74"/>
      <c r="E68" s="74"/>
      <c r="F68" s="74"/>
      <c r="G68" s="74"/>
      <c r="H68" s="74"/>
      <c r="I68" s="74"/>
      <c r="J68" s="74">
        <f>SUM(J69)</f>
        <v>202</v>
      </c>
      <c r="K68" s="74"/>
      <c r="L68" s="74"/>
      <c r="M68" s="74"/>
      <c r="N68" s="74">
        <f>SUM(N69)</f>
        <v>5416</v>
      </c>
      <c r="O68" s="74"/>
      <c r="P68" s="74"/>
      <c r="Q68" s="74"/>
      <c r="R68" s="74"/>
      <c r="S68" s="74">
        <f>SUM(S69)</f>
        <v>142</v>
      </c>
      <c r="T68" s="74"/>
      <c r="U68" s="74"/>
      <c r="V68" s="74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3" customFormat="1" ht="12.6" customHeight="1">
      <c r="A69" s="334">
        <v>4241</v>
      </c>
      <c r="B69" s="10" t="s">
        <v>5292</v>
      </c>
      <c r="C69" s="71">
        <f t="shared" si="3"/>
        <v>5760</v>
      </c>
      <c r="D69" s="74"/>
      <c r="E69" s="74"/>
      <c r="F69" s="74"/>
      <c r="G69" s="74"/>
      <c r="H69" s="74"/>
      <c r="I69" s="74"/>
      <c r="J69" s="74">
        <v>202</v>
      </c>
      <c r="K69" s="74"/>
      <c r="L69" s="74"/>
      <c r="M69" s="74"/>
      <c r="N69" s="74">
        <v>5416</v>
      </c>
      <c r="O69" s="74"/>
      <c r="P69" s="74"/>
      <c r="Q69" s="74"/>
      <c r="R69" s="74"/>
      <c r="S69" s="74">
        <v>142</v>
      </c>
      <c r="T69" s="74"/>
      <c r="U69" s="74"/>
      <c r="V69" s="74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9" customFormat="1" ht="12.6" customHeight="1">
      <c r="A70" s="333">
        <v>43</v>
      </c>
      <c r="B70" s="8" t="s">
        <v>255</v>
      </c>
      <c r="C70" s="71">
        <f t="shared" si="3"/>
        <v>0</v>
      </c>
      <c r="D70" s="74">
        <f>SUMIFS('Unos rashoda i izdataka'!$J$3:$J$575,'Unos rashoda i izdataka'!$C$3:$C$575,"=11",'Unos rashoda i izdataka'!$P$3:$P$575,"=43")+SUMIFS('Unos rashoda P4'!$H$3:$H$501,'Unos rashoda P4'!$A$3:$A$501,"=11",'Unos rashoda P4'!$S$3:$S$501,"=43")</f>
        <v>0</v>
      </c>
      <c r="E70" s="74">
        <f>SUMIFS('Unos rashoda i izdataka'!$J$3:$J$575,'Unos rashoda i izdataka'!$C$3:$C$575,"=12",'Unos rashoda i izdataka'!$P$3:$P$575,"=43")+SUMIFS('Unos rashoda P4'!$H$3:$H$501,'Unos rashoda P4'!$A$3:$A$501,"=12",'Unos rashoda P4'!$S$3:$S$501,"=43")</f>
        <v>0</v>
      </c>
      <c r="F70" s="74">
        <f>SUMIFS('Unos rashoda i izdataka'!$J$3:$J$575,'Unos rashoda i izdataka'!$C$3:$C$575,"=31",'Unos rashoda i izdataka'!$P$3:$P$575,"=43")+SUMIFS('Unos rashoda P4'!$H$3:$H$501,'Unos rashoda P4'!$A$3:$A$501,"=31",'Unos rashoda P4'!$S$3:$S$501,"=43")</f>
        <v>0</v>
      </c>
      <c r="G70" s="74">
        <f>SUMIFS('Unos rashoda i izdataka'!$J$3:$J$575,'Unos rashoda i izdataka'!$C$3:$C$575,"=41",'Unos rashoda i izdataka'!$P$3:$P$575,"=43")+SUMIFS('Unos rashoda P4'!$H$3:$H$501,'Unos rashoda P4'!$A$3:$A$501,"=41",'Unos rashoda P4'!$S$3:$S$501,"=43")</f>
        <v>0</v>
      </c>
      <c r="H70" s="74">
        <f>SUMIFS('Unos rashoda i izdataka'!$J$3:$J$575,'Unos rashoda i izdataka'!$C$3:$C$575,"=43",'Unos rashoda i izdataka'!$P$3:$P$575,"=43")+SUMIFS('Unos rashoda P4'!$H$3:$H$501,'Unos rashoda P4'!$A$3:$A$501,"=43",'Unos rashoda P4'!$S$3:$S$501,"=43")</f>
        <v>0</v>
      </c>
      <c r="I70" s="74">
        <f>SUMIFS('Unos rashoda i izdataka'!$J$3:$J$575,'Unos rashoda i izdataka'!$C$3:$C$575,"=51",'Unos rashoda i izdataka'!$P$3:$P$575,"=43")+SUMIFS('Unos rashoda P4'!$H$3:$H$501,'Unos rashoda P4'!$A$3:$A$501,"=51",'Unos rashoda P4'!$S$3:$S$501,"=43")</f>
        <v>0</v>
      </c>
      <c r="J70" s="74">
        <f>SUMIFS('Unos rashoda i izdataka'!$J$3:$J$575,'Unos rashoda i izdataka'!$C$3:$C$575,"=52",'Unos rashoda i izdataka'!$P$3:$P$575,"=43")+SUMIFS('Unos rashoda P4'!$H$3:$H$501,'Unos rashoda P4'!$A$3:$A$501,"=52",'Unos rashoda P4'!$S$3:$S$501,"=43")</f>
        <v>0</v>
      </c>
      <c r="K70" s="74">
        <f>SUMIFS('Unos rashoda i izdataka'!$J$3:$J$575,'Unos rashoda i izdataka'!$C$3:$C$575,"=552",'Unos rashoda i izdataka'!$P$3:$P$575,"=43")+SUMIFS('Unos rashoda P4'!$H$3:$H$501,'Unos rashoda P4'!$A$3:$A$501,"=552",'Unos rashoda P4'!$S$3:$S$501,"=43")</f>
        <v>0</v>
      </c>
      <c r="L70" s="74">
        <f>SUMIFS('Unos rashoda i izdataka'!$J$3:$J$575,'Unos rashoda i izdataka'!$C$3:$C$575,"=559",'Unos rashoda i izdataka'!$P$3:$P$575,"=43")+SUMIFS('Unos rashoda P4'!$H$3:$H$501,'Unos rashoda P4'!$A$3:$A$501,"=559",'Unos rashoda P4'!$S$3:$S$501,"=43")</f>
        <v>0</v>
      </c>
      <c r="M70" s="74">
        <f>SUMIFS('Unos rashoda i izdataka'!$J$3:$J$575,'Unos rashoda i izdataka'!$C$3:$C$575,"=561",'Unos rashoda i izdataka'!$P$3:$P$575,"=43")+SUMIFS('Unos rashoda P4'!$H$3:$H$501,'Unos rashoda P4'!$A$3:$A$501,"=561",'Unos rashoda P4'!$S$3:$S$501,"=43")</f>
        <v>0</v>
      </c>
      <c r="N70" s="74">
        <f>SUMIFS('Unos rashoda i izdataka'!$J$3:$J$575,'Unos rashoda i izdataka'!$C$3:$C$575,"=563",'Unos rashoda i izdataka'!$P$3:$P$575,"=43")+SUMIFS('Unos rashoda P4'!$H$3:$H$501,'Unos rashoda P4'!$A$3:$A$501,"=563",'Unos rashoda P4'!$S$3:$S$501,"=43")</f>
        <v>0</v>
      </c>
      <c r="O70" s="74">
        <f>SUMIFS('Unos rashoda i izdataka'!$J$3:$J$575,'Unos rashoda i izdataka'!$C$3:$C$575,"=573",'Unos rashoda i izdataka'!$P$3:$P$575,"=43")+SUMIFS('Unos rashoda P4'!$H$3:$H$501,'Unos rashoda P4'!$A$3:$A$501,"=573",'Unos rashoda P4'!$S$3:$S$501,"=43")</f>
        <v>0</v>
      </c>
      <c r="P70" s="74">
        <f>SUMIFS('Unos rashoda i izdataka'!$J$3:$J$575,'Unos rashoda i izdataka'!$C$3:$C$575,"=575",'Unos rashoda i izdataka'!$P$3:$P$575,"=43")+SUMIFS('Unos rashoda P4'!$H$3:$H$501,'Unos rashoda P4'!$A$3:$A$501,"=575",'Unos rashoda P4'!$S$3:$S$501,"=43")</f>
        <v>0</v>
      </c>
      <c r="Q70" s="74">
        <f>SUMIFS('Unos rashoda i izdataka'!$J$3:$J$575,'Unos rashoda i izdataka'!$Q$3:$Q$575,"=576",'Unos rashoda i izdataka'!$P$3:$P$575,"=43")+SUMIFS('Unos rashoda P4'!$H$3:$H$501,'Unos rashoda P4'!$A$3:$A$501,"=576",'Unos rashoda P4'!$S$3:$S$501,"=43")</f>
        <v>0</v>
      </c>
      <c r="R70" s="74">
        <f>SUMIFS('Unos rashoda i izdataka'!$J$3:$J$575,'Unos rashoda i izdataka'!$C$3:$C$575,"=581",'Unos rashoda i izdataka'!$P$3:$P$575,"=43")+SUMIFS('Unos rashoda P4'!$H$3:$H$501,'Unos rashoda P4'!$A$3:$A$501,"=581",'Unos rashoda P4'!$S$3:$S$501,"=43")</f>
        <v>0</v>
      </c>
      <c r="S70" s="74">
        <f>SUMIFS('Unos rashoda i izdataka'!$J$3:$J$575,'Unos rashoda i izdataka'!$C$3:$C$575,"=61",'Unos rashoda i izdataka'!$P$3:$P$575,"=43")+SUMIFS('Unos rashoda P4'!$H$3:$H$501,'Unos rashoda P4'!$A$3:$A$501,"=61",'Unos rashoda P4'!$S$3:$S$501,"=43")</f>
        <v>0</v>
      </c>
      <c r="T70" s="74">
        <f>SUMIFS('Unos rashoda i izdataka'!$J$3:$J$575,'Unos rashoda i izdataka'!$C$3:$C$575,"=63",'Unos rashoda i izdataka'!$P$3:$P$575,"=43")+SUMIFS('Unos rashoda P4'!$H$3:$H$501,'Unos rashoda P4'!$A$3:$A$501,"=63",'Unos rashoda P4'!$S$3:$S$501,"=43")</f>
        <v>0</v>
      </c>
      <c r="U70" s="74">
        <f>SUMIFS('Unos rashoda i izdataka'!$J$3:$J$575,'Unos rashoda i izdataka'!$C$3:$C$575,"=71",'Unos rashoda i izdataka'!$P$3:$P$575,"=43")+SUMIFS('Unos rashoda P4'!$H$3:$H$501,'Unos rashoda P4'!$A$3:$A$501,"=71",'Unos rashoda P4'!$S$3:$S$501,"=43")</f>
        <v>0</v>
      </c>
      <c r="V70" s="74">
        <f>SUMIFS('Unos rashoda i izdataka'!$J$3:$J$575,'Unos rashoda i izdataka'!$C$3:$C$575,"=81",'Unos rashoda i izdataka'!$P$3:$P$575,"=43")+SUMIFS('Unos rashoda P4'!$H$3:$H$501,'Unos rashoda P4'!$A$3:$A$501,"=81",'Unos rashoda P4'!$S$3:$S$501,"=43")</f>
        <v>0</v>
      </c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</row>
    <row r="71" spans="1:262" s="9" customFormat="1" ht="12.6" customHeight="1">
      <c r="A71" s="333">
        <v>44</v>
      </c>
      <c r="B71" s="8" t="s">
        <v>256</v>
      </c>
      <c r="C71" s="71">
        <f t="shared" si="3"/>
        <v>0</v>
      </c>
      <c r="D71" s="74">
        <f>SUMIFS('Unos rashoda i izdataka'!$J$3:$J$575,'Unos rashoda i izdataka'!$C$3:$C$575,"=11",'Unos rashoda i izdataka'!$P$3:$P$575,"=44")+SUMIFS('Unos rashoda P4'!$H$3:$H$501,'Unos rashoda P4'!$A$3:$A$501,"=11",'Unos rashoda P4'!$S$3:$S$501,"=44")</f>
        <v>0</v>
      </c>
      <c r="E71" s="74">
        <f>SUMIFS('Unos rashoda i izdataka'!$J$3:$J$575,'Unos rashoda i izdataka'!$C$3:$C$575,"=12",'Unos rashoda i izdataka'!$P$3:$P$575,"=44")+SUMIFS('Unos rashoda P4'!$H$3:$H$501,'Unos rashoda P4'!$A$3:$A$501,"=12",'Unos rashoda P4'!$S$3:$S$501,"=44")</f>
        <v>0</v>
      </c>
      <c r="F71" s="74">
        <f>SUMIFS('Unos rashoda i izdataka'!$J$3:$J$575,'Unos rashoda i izdataka'!$C$3:$C$575,"=31",'Unos rashoda i izdataka'!$P$3:$P$575,"=44")+SUMIFS('Unos rashoda P4'!$H$3:$H$501,'Unos rashoda P4'!$A$3:$A$501,"=31",'Unos rashoda P4'!$S$3:$S$501,"=44")</f>
        <v>0</v>
      </c>
      <c r="G71" s="74">
        <f>SUMIFS('Unos rashoda i izdataka'!$J$3:$J$575,'Unos rashoda i izdataka'!$C$3:$C$575,"=41",'Unos rashoda i izdataka'!$P$3:$P$575,"=44")+SUMIFS('Unos rashoda P4'!$H$3:$H$501,'Unos rashoda P4'!$A$3:$A$501,"=41",'Unos rashoda P4'!$S$3:$S$501,"=44")</f>
        <v>0</v>
      </c>
      <c r="H71" s="74">
        <f>SUMIFS('Unos rashoda i izdataka'!$J$3:$J$575,'Unos rashoda i izdataka'!$C$3:$C$575,"=43",'Unos rashoda i izdataka'!$P$3:$P$575,"=44")+SUMIFS('Unos rashoda P4'!$H$3:$H$501,'Unos rashoda P4'!$A$3:$A$501,"=43",'Unos rashoda P4'!$S$3:$S$501,"=44")</f>
        <v>0</v>
      </c>
      <c r="I71" s="74">
        <f>SUMIFS('Unos rashoda i izdataka'!$J$3:$J$575,'Unos rashoda i izdataka'!$C$3:$C$575,"=51",'Unos rashoda i izdataka'!$P$3:$P$575,"=44")+SUMIFS('Unos rashoda P4'!$H$3:$H$501,'Unos rashoda P4'!$A$3:$A$501,"=51",'Unos rashoda P4'!$S$3:$S$501,"=44")</f>
        <v>0</v>
      </c>
      <c r="J71" s="74">
        <f>SUMIFS('Unos rashoda i izdataka'!$J$3:$J$575,'Unos rashoda i izdataka'!$C$3:$C$575,"=52",'Unos rashoda i izdataka'!$P$3:$P$575,"=44")+SUMIFS('Unos rashoda P4'!$H$3:$H$501,'Unos rashoda P4'!$A$3:$A$501,"=52",'Unos rashoda P4'!$S$3:$S$501,"=44")</f>
        <v>0</v>
      </c>
      <c r="K71" s="74">
        <f>SUMIFS('Unos rashoda i izdataka'!$J$3:$J$575,'Unos rashoda i izdataka'!$C$3:$C$575,"=552",'Unos rashoda i izdataka'!$P$3:$P$575,"=44")+SUMIFS('Unos rashoda P4'!$H$3:$H$501,'Unos rashoda P4'!$A$3:$A$501,"=552",'Unos rashoda P4'!$S$3:$S$501,"=44")</f>
        <v>0</v>
      </c>
      <c r="L71" s="74">
        <f>SUMIFS('Unos rashoda i izdataka'!$J$3:$J$575,'Unos rashoda i izdataka'!$C$3:$C$575,"=559",'Unos rashoda i izdataka'!$P$3:$P$575,"=44")+SUMIFS('Unos rashoda P4'!$H$3:$H$501,'Unos rashoda P4'!$A$3:$A$501,"=559",'Unos rashoda P4'!$S$3:$S$501,"=44")</f>
        <v>0</v>
      </c>
      <c r="M71" s="74">
        <f>SUMIFS('Unos rashoda i izdataka'!$J$3:$J$575,'Unos rashoda i izdataka'!$C$3:$C$575,"=561",'Unos rashoda i izdataka'!$P$3:$P$575,"=44")+SUMIFS('Unos rashoda P4'!$H$3:$H$501,'Unos rashoda P4'!$A$3:$A$501,"=561",'Unos rashoda P4'!$S$3:$S$501,"=44")</f>
        <v>0</v>
      </c>
      <c r="N71" s="74">
        <f>SUMIFS('Unos rashoda i izdataka'!$J$3:$J$575,'Unos rashoda i izdataka'!$C$3:$C$575,"=563",'Unos rashoda i izdataka'!$P$3:$P$575,"=44")+SUMIFS('Unos rashoda P4'!$H$3:$H$501,'Unos rashoda P4'!$A$3:$A$501,"=563",'Unos rashoda P4'!$S$3:$S$501,"=44")</f>
        <v>0</v>
      </c>
      <c r="O71" s="74">
        <f>SUMIFS('Unos rashoda i izdataka'!$J$3:$J$575,'Unos rashoda i izdataka'!$C$3:$C$575,"=573",'Unos rashoda i izdataka'!$P$3:$P$575,"=44")+SUMIFS('Unos rashoda P4'!$H$3:$H$501,'Unos rashoda P4'!$A$3:$A$501,"=573",'Unos rashoda P4'!$S$3:$S$501,"=44")</f>
        <v>0</v>
      </c>
      <c r="P71" s="74">
        <f>SUMIFS('Unos rashoda i izdataka'!$J$3:$J$575,'Unos rashoda i izdataka'!$C$3:$C$575,"=575",'Unos rashoda i izdataka'!$P$3:$P$575,"=44")+SUMIFS('Unos rashoda P4'!$H$3:$H$501,'Unos rashoda P4'!$A$3:$A$501,"=575",'Unos rashoda P4'!$S$3:$S$501,"=44")</f>
        <v>0</v>
      </c>
      <c r="Q71" s="74">
        <f>SUMIFS('Unos rashoda i izdataka'!$J$3:$J$575,'Unos rashoda i izdataka'!$Q$3:$Q$575,"=576",'Unos rashoda i izdataka'!$P$3:$P$575,"=44")+SUMIFS('Unos rashoda P4'!$H$3:$H$501,'Unos rashoda P4'!$A$3:$A$501,"=576",'Unos rashoda P4'!$S$3:$S$501,"=44")</f>
        <v>0</v>
      </c>
      <c r="R71" s="74">
        <f>SUMIFS('Unos rashoda i izdataka'!$J$3:$J$575,'Unos rashoda i izdataka'!$C$3:$C$575,"=581",'Unos rashoda i izdataka'!$P$3:$P$575,"=44")+SUMIFS('Unos rashoda P4'!$H$3:$H$501,'Unos rashoda P4'!$A$3:$A$501,"=581",'Unos rashoda P4'!$S$3:$S$501,"=44")</f>
        <v>0</v>
      </c>
      <c r="S71" s="74">
        <f>SUMIFS('Unos rashoda i izdataka'!$J$3:$J$575,'Unos rashoda i izdataka'!$C$3:$C$575,"=61",'Unos rashoda i izdataka'!$P$3:$P$575,"=44")+SUMIFS('Unos rashoda P4'!$H$3:$H$501,'Unos rashoda P4'!$A$3:$A$501,"=61",'Unos rashoda P4'!$S$3:$S$501,"=44")</f>
        <v>0</v>
      </c>
      <c r="T71" s="74">
        <f>SUMIFS('Unos rashoda i izdataka'!$J$3:$J$575,'Unos rashoda i izdataka'!$C$3:$C$575,"=63",'Unos rashoda i izdataka'!$P$3:$P$575,"=44")+SUMIFS('Unos rashoda P4'!$H$3:$H$501,'Unos rashoda P4'!$A$3:$A$501,"=63",'Unos rashoda P4'!$S$3:$S$501,"=44")</f>
        <v>0</v>
      </c>
      <c r="U71" s="74">
        <f>SUMIFS('Unos rashoda i izdataka'!$J$3:$J$575,'Unos rashoda i izdataka'!$C$3:$C$575,"=71",'Unos rashoda i izdataka'!$P$3:$P$575,"=44")+SUMIFS('Unos rashoda P4'!$H$3:$H$501,'Unos rashoda P4'!$A$3:$A$501,"=71",'Unos rashoda P4'!$S$3:$S$501,"=44")</f>
        <v>0</v>
      </c>
      <c r="V71" s="74">
        <f>SUMIFS('Unos rashoda i izdataka'!$J$3:$J$575,'Unos rashoda i izdataka'!$C$3:$C$575,"=81",'Unos rashoda i izdataka'!$P$3:$P$575,"=44")+SUMIFS('Unos rashoda P4'!$H$3:$H$501,'Unos rashoda P4'!$A$3:$A$501,"=81",'Unos rashoda P4'!$S$3:$S$501,"=44")</f>
        <v>0</v>
      </c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</row>
    <row r="72" spans="1:262" s="13" customFormat="1" ht="12.6" customHeight="1">
      <c r="A72" s="334">
        <v>45</v>
      </c>
      <c r="B72" s="10" t="s">
        <v>204</v>
      </c>
      <c r="C72" s="71">
        <f t="shared" si="3"/>
        <v>0</v>
      </c>
      <c r="D72" s="74">
        <f>SUMIFS('Unos rashoda i izdataka'!$J$3:$J$575,'Unos rashoda i izdataka'!$C$3:$C$575,"=11",'Unos rashoda i izdataka'!$P$3:$P$575,"=45")+SUMIFS('Unos rashoda P4'!$H$3:$H$501,'Unos rashoda P4'!$A$3:$A$501,"=11",'Unos rashoda P4'!$S$3:$S$501,"=45")</f>
        <v>0</v>
      </c>
      <c r="E72" s="74">
        <f>SUMIFS('Unos rashoda i izdataka'!$J$3:$J$575,'Unos rashoda i izdataka'!$C$3:$C$575,"=12",'Unos rashoda i izdataka'!$P$3:$P$575,"=45")+SUMIFS('Unos rashoda P4'!$H$3:$H$501,'Unos rashoda P4'!$A$3:$A$501,"=12",'Unos rashoda P4'!$S$3:$S$501,"=45")</f>
        <v>0</v>
      </c>
      <c r="F72" s="74">
        <f>SUMIFS('Unos rashoda i izdataka'!$J$3:$J$575,'Unos rashoda i izdataka'!$C$3:$C$575,"=31",'Unos rashoda i izdataka'!$P$3:$P$575,"=45")+SUMIFS('Unos rashoda P4'!$H$3:$H$501,'Unos rashoda P4'!$A$3:$A$501,"=31",'Unos rashoda P4'!$S$3:$S$501,"=45")</f>
        <v>0</v>
      </c>
      <c r="G72" s="74">
        <f>SUMIFS('Unos rashoda i izdataka'!$J$3:$J$575,'Unos rashoda i izdataka'!$C$3:$C$575,"=41",'Unos rashoda i izdataka'!$P$3:$P$575,"=45")+SUMIFS('Unos rashoda P4'!$H$3:$H$501,'Unos rashoda P4'!$A$3:$A$501,"=41",'Unos rashoda P4'!$S$3:$S$501,"=45")</f>
        <v>0</v>
      </c>
      <c r="H72" s="74">
        <f>SUMIFS('Unos rashoda i izdataka'!$J$3:$J$575,'Unos rashoda i izdataka'!$C$3:$C$575,"=43",'Unos rashoda i izdataka'!$P$3:$P$575,"=45")+SUMIFS('Unos rashoda P4'!$H$3:$H$501,'Unos rashoda P4'!$A$3:$A$501,"=43",'Unos rashoda P4'!$S$3:$S$501,"=45")</f>
        <v>0</v>
      </c>
      <c r="I72" s="74">
        <f>SUMIFS('Unos rashoda i izdataka'!$J$3:$J$575,'Unos rashoda i izdataka'!$C$3:$C$575,"=51",'Unos rashoda i izdataka'!$P$3:$P$575,"=45")+SUMIFS('Unos rashoda P4'!$H$3:$H$501,'Unos rashoda P4'!$A$3:$A$501,"=51",'Unos rashoda P4'!$S$3:$S$501,"=45")</f>
        <v>0</v>
      </c>
      <c r="J72" s="74">
        <f>SUMIFS('Unos rashoda i izdataka'!$J$3:$J$575,'Unos rashoda i izdataka'!$C$3:$C$575,"=52",'Unos rashoda i izdataka'!$P$3:$P$575,"=45")+SUMIFS('Unos rashoda P4'!$H$3:$H$501,'Unos rashoda P4'!$A$3:$A$501,"=52",'Unos rashoda P4'!$S$3:$S$501,"=45")</f>
        <v>0</v>
      </c>
      <c r="K72" s="74">
        <f>SUMIFS('Unos rashoda i izdataka'!$J$3:$J$575,'Unos rashoda i izdataka'!$C$3:$C$575,"=552",'Unos rashoda i izdataka'!$P$3:$P$575,"=45")+SUMIFS('Unos rashoda P4'!$H$3:$H$501,'Unos rashoda P4'!$A$3:$A$501,"=552",'Unos rashoda P4'!$S$3:$S$501,"=45")</f>
        <v>0</v>
      </c>
      <c r="L72" s="74">
        <f>SUMIFS('Unos rashoda i izdataka'!$J$3:$J$575,'Unos rashoda i izdataka'!$C$3:$C$575,"=559",'Unos rashoda i izdataka'!$P$3:$P$575,"=45")+SUMIFS('Unos rashoda P4'!$H$3:$H$501,'Unos rashoda P4'!$A$3:$A$501,"=559",'Unos rashoda P4'!$S$3:$S$501,"=45")</f>
        <v>0</v>
      </c>
      <c r="M72" s="74">
        <f>SUMIFS('Unos rashoda i izdataka'!$J$3:$J$575,'Unos rashoda i izdataka'!$C$3:$C$575,"=561",'Unos rashoda i izdataka'!$P$3:$P$575,"=45")+SUMIFS('Unos rashoda P4'!$H$3:$H$501,'Unos rashoda P4'!$A$3:$A$501,"=561",'Unos rashoda P4'!$S$3:$S$501,"=45")</f>
        <v>0</v>
      </c>
      <c r="N72" s="74">
        <f>SUMIFS('Unos rashoda i izdataka'!$J$3:$J$575,'Unos rashoda i izdataka'!$C$3:$C$575,"=563",'Unos rashoda i izdataka'!$P$3:$P$575,"=45")+SUMIFS('Unos rashoda P4'!$H$3:$H$501,'Unos rashoda P4'!$A$3:$A$501,"=563",'Unos rashoda P4'!$S$3:$S$501,"=45")</f>
        <v>0</v>
      </c>
      <c r="O72" s="74">
        <f>SUMIFS('Unos rashoda i izdataka'!$J$3:$J$575,'Unos rashoda i izdataka'!$C$3:$C$575,"=573",'Unos rashoda i izdataka'!$P$3:$P$575,"=45")+SUMIFS('Unos rashoda P4'!$H$3:$H$501,'Unos rashoda P4'!$A$3:$A$501,"=573",'Unos rashoda P4'!$S$3:$S$501,"=45")</f>
        <v>0</v>
      </c>
      <c r="P72" s="74">
        <f>SUMIFS('Unos rashoda i izdataka'!$J$3:$J$575,'Unos rashoda i izdataka'!$C$3:$C$575,"=575",'Unos rashoda i izdataka'!$P$3:$P$575,"=45")+SUMIFS('Unos rashoda P4'!$H$3:$H$501,'Unos rashoda P4'!$A$3:$A$501,"=575",'Unos rashoda P4'!$S$3:$S$501,"=45")</f>
        <v>0</v>
      </c>
      <c r="Q72" s="74">
        <f>SUMIFS('Unos rashoda i izdataka'!$J$3:$J$575,'Unos rashoda i izdataka'!$Q$3:$Q$575,"=576",'Unos rashoda i izdataka'!$P$3:$P$575,"=45")+SUMIFS('Unos rashoda P4'!$H$3:$H$501,'Unos rashoda P4'!$A$3:$A$501,"=576",'Unos rashoda P4'!$S$3:$S$501,"=45")</f>
        <v>0</v>
      </c>
      <c r="R72" s="74">
        <f>SUMIFS('Unos rashoda i izdataka'!$J$3:$J$575,'Unos rashoda i izdataka'!$C$3:$C$575,"=581",'Unos rashoda i izdataka'!$P$3:$P$575,"=45")+SUMIFS('Unos rashoda P4'!$H$3:$H$501,'Unos rashoda P4'!$A$3:$A$501,"=581",'Unos rashoda P4'!$S$3:$S$501,"=45")</f>
        <v>0</v>
      </c>
      <c r="S72" s="74">
        <f>SUMIFS('Unos rashoda i izdataka'!$J$3:$J$575,'Unos rashoda i izdataka'!$C$3:$C$575,"=61",'Unos rashoda i izdataka'!$P$3:$P$575,"=45")+SUMIFS('Unos rashoda P4'!$H$3:$H$501,'Unos rashoda P4'!$A$3:$A$501,"=61",'Unos rashoda P4'!$S$3:$S$501,"=45")</f>
        <v>0</v>
      </c>
      <c r="T72" s="74">
        <f>SUMIFS('Unos rashoda i izdataka'!$J$3:$J$575,'Unos rashoda i izdataka'!$C$3:$C$575,"=63",'Unos rashoda i izdataka'!$P$3:$P$575,"=45")+SUMIFS('Unos rashoda P4'!$H$3:$H$501,'Unos rashoda P4'!$A$3:$A$501,"=63",'Unos rashoda P4'!$S$3:$S$501,"=45")</f>
        <v>0</v>
      </c>
      <c r="U72" s="74">
        <f>SUMIFS('Unos rashoda i izdataka'!$J$3:$J$575,'Unos rashoda i izdataka'!$C$3:$C$575,"=71",'Unos rashoda i izdataka'!$P$3:$P$575,"=45")+SUMIFS('Unos rashoda P4'!$H$3:$H$501,'Unos rashoda P4'!$A$3:$A$501,"=71",'Unos rashoda P4'!$S$3:$S$501,"=45")</f>
        <v>0</v>
      </c>
      <c r="V72" s="74">
        <f>SUMIFS('Unos rashoda i izdataka'!$J$3:$J$575,'Unos rashoda i izdataka'!$C$3:$C$575,"=81",'Unos rashoda i izdataka'!$P$3:$P$575,"=45")+SUMIFS('Unos rashoda P4'!$H$3:$H$501,'Unos rashoda P4'!$A$3:$A$501,"=81",'Unos rashoda P4'!$S$3:$S$501,"=45")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28" customFormat="1">
      <c r="A73" s="336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</row>
    <row r="74" spans="1:262" s="30" customFormat="1" ht="71.45" customHeight="1">
      <c r="A74" s="183" t="s">
        <v>195</v>
      </c>
      <c r="B74" s="41" t="s">
        <v>196</v>
      </c>
      <c r="C74" s="2" t="s">
        <v>3018</v>
      </c>
      <c r="D74" s="2" t="s">
        <v>37</v>
      </c>
      <c r="E74" s="2" t="s">
        <v>251</v>
      </c>
      <c r="F74" s="41" t="s">
        <v>16</v>
      </c>
      <c r="G74" s="41" t="s">
        <v>5114</v>
      </c>
      <c r="H74" s="41" t="s">
        <v>17</v>
      </c>
      <c r="I74" s="41" t="s">
        <v>240</v>
      </c>
      <c r="J74" s="41" t="s">
        <v>241</v>
      </c>
      <c r="K74" s="41" t="s">
        <v>1230</v>
      </c>
      <c r="L74" s="41" t="s">
        <v>242</v>
      </c>
      <c r="M74" s="41" t="s">
        <v>243</v>
      </c>
      <c r="N74" s="41" t="s">
        <v>244</v>
      </c>
      <c r="O74" s="41" t="s">
        <v>1231</v>
      </c>
      <c r="P74" s="41" t="s">
        <v>5120</v>
      </c>
      <c r="Q74" s="41" t="s">
        <v>5121</v>
      </c>
      <c r="R74" s="41" t="s">
        <v>3017</v>
      </c>
      <c r="S74" s="41" t="s">
        <v>245</v>
      </c>
      <c r="T74" s="41" t="s">
        <v>246</v>
      </c>
      <c r="U74" s="41" t="s">
        <v>1206</v>
      </c>
      <c r="V74" s="41" t="s">
        <v>1205</v>
      </c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15" customFormat="1" ht="19.5" customHeight="1">
      <c r="A75" s="338">
        <v>2023</v>
      </c>
      <c r="B75" s="337" t="s">
        <v>5269</v>
      </c>
      <c r="C75" s="60">
        <f t="shared" ref="C75:C89" si="5">SUM(D75:V75)</f>
        <v>3450551.1929176189</v>
      </c>
      <c r="D75" s="61">
        <f t="shared" ref="D75:V75" si="6">+D76+D84</f>
        <v>1497286.1929176187</v>
      </c>
      <c r="E75" s="61">
        <f t="shared" si="6"/>
        <v>0</v>
      </c>
      <c r="F75" s="61">
        <f t="shared" si="6"/>
        <v>20000</v>
      </c>
      <c r="G75" s="61">
        <f t="shared" si="6"/>
        <v>0</v>
      </c>
      <c r="H75" s="61">
        <f t="shared" si="6"/>
        <v>266700</v>
      </c>
      <c r="I75" s="61">
        <f t="shared" si="6"/>
        <v>0</v>
      </c>
      <c r="J75" s="61">
        <f t="shared" si="6"/>
        <v>66565</v>
      </c>
      <c r="K75" s="61">
        <f t="shared" si="6"/>
        <v>0</v>
      </c>
      <c r="L75" s="61">
        <f t="shared" si="6"/>
        <v>0</v>
      </c>
      <c r="M75" s="61">
        <f t="shared" si="6"/>
        <v>0</v>
      </c>
      <c r="N75" s="61">
        <f t="shared" si="6"/>
        <v>1600000</v>
      </c>
      <c r="O75" s="61">
        <f t="shared" si="6"/>
        <v>0</v>
      </c>
      <c r="P75" s="61">
        <f t="shared" si="6"/>
        <v>0</v>
      </c>
      <c r="Q75" s="61">
        <f t="shared" si="6"/>
        <v>0</v>
      </c>
      <c r="R75" s="61">
        <f t="shared" si="6"/>
        <v>0</v>
      </c>
      <c r="S75" s="61">
        <f t="shared" si="6"/>
        <v>0</v>
      </c>
      <c r="T75" s="61">
        <f t="shared" si="6"/>
        <v>0</v>
      </c>
      <c r="U75" s="61">
        <f t="shared" si="6"/>
        <v>0</v>
      </c>
      <c r="V75" s="61">
        <f t="shared" si="6"/>
        <v>0</v>
      </c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2"/>
      <c r="AN75" s="32"/>
      <c r="AO75" s="32"/>
      <c r="AP75" s="32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</row>
    <row r="76" spans="1:262" s="7" customFormat="1" ht="12.6" customHeight="1">
      <c r="A76" s="335">
        <v>3</v>
      </c>
      <c r="B76" s="63" t="s">
        <v>197</v>
      </c>
      <c r="C76" s="64">
        <f t="shared" si="5"/>
        <v>1618970.1929176187</v>
      </c>
      <c r="D76" s="68">
        <f t="shared" ref="D76:V76" si="7">+D77+D78+D79+D80+D81+D82+D83</f>
        <v>1295198.1929176187</v>
      </c>
      <c r="E76" s="68">
        <f t="shared" si="7"/>
        <v>0</v>
      </c>
      <c r="F76" s="68">
        <f t="shared" si="7"/>
        <v>10000</v>
      </c>
      <c r="G76" s="68">
        <f t="shared" si="7"/>
        <v>0</v>
      </c>
      <c r="H76" s="68">
        <f t="shared" si="7"/>
        <v>247207</v>
      </c>
      <c r="I76" s="68">
        <f t="shared" si="7"/>
        <v>0</v>
      </c>
      <c r="J76" s="68">
        <f t="shared" si="7"/>
        <v>66565</v>
      </c>
      <c r="K76" s="68">
        <f t="shared" si="7"/>
        <v>0</v>
      </c>
      <c r="L76" s="68">
        <f t="shared" si="7"/>
        <v>0</v>
      </c>
      <c r="M76" s="68">
        <f t="shared" si="7"/>
        <v>0</v>
      </c>
      <c r="N76" s="68">
        <f t="shared" si="7"/>
        <v>0</v>
      </c>
      <c r="O76" s="68">
        <f t="shared" si="7"/>
        <v>0</v>
      </c>
      <c r="P76" s="68">
        <f t="shared" si="7"/>
        <v>0</v>
      </c>
      <c r="Q76" s="68">
        <f t="shared" si="7"/>
        <v>0</v>
      </c>
      <c r="R76" s="68">
        <f t="shared" si="7"/>
        <v>0</v>
      </c>
      <c r="S76" s="68">
        <f t="shared" si="7"/>
        <v>0</v>
      </c>
      <c r="T76" s="68">
        <f t="shared" si="7"/>
        <v>0</v>
      </c>
      <c r="U76" s="68">
        <f t="shared" si="7"/>
        <v>0</v>
      </c>
      <c r="V76" s="68">
        <f t="shared" si="7"/>
        <v>0</v>
      </c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</row>
    <row r="77" spans="1:262" s="9" customFormat="1" ht="12.6" customHeight="1">
      <c r="A77" s="333">
        <v>31</v>
      </c>
      <c r="B77" s="8" t="s">
        <v>198</v>
      </c>
      <c r="C77" s="70">
        <f t="shared" si="5"/>
        <v>1174354.3156038099</v>
      </c>
      <c r="D77" s="74">
        <f>SUMIFS('Unos rashoda i izdataka'!$K$3:$K$575,'Unos rashoda i izdataka'!$C$3:$C$575,"=11",'Unos rashoda i izdataka'!$P$3:$P$575,"=31")+SUMIFS('Unos rashoda P4'!$I$3:$I$501,'Unos rashoda P4'!$A$3:$A$501,"=11",'Unos rashoda P4'!$S$3:$S$501,"=31")</f>
        <v>1135714.3156038099</v>
      </c>
      <c r="E77" s="74">
        <f>SUMIFS('Unos rashoda i izdataka'!$K$3:$K$575,'Unos rashoda i izdataka'!$C$3:$C$575,"=12",'Unos rashoda i izdataka'!$P$3:$P$575,"=31")+SUMIFS('Unos rashoda P4'!$I$3:$I$501,'Unos rashoda P4'!$A$3:$A$501,"=12",'Unos rashoda P4'!$S$3:$S$501,"=31")</f>
        <v>0</v>
      </c>
      <c r="F77" s="74">
        <f>SUMIFS('Unos rashoda i izdataka'!$K$3:$K$575,'Unos rashoda i izdataka'!$C$3:$C$575,"=31",'Unos rashoda i izdataka'!$P$3:$P$575,"=31")+SUMIFS('Unos rashoda P4'!$I$3:$I$501,'Unos rashoda P4'!$A$3:$A$501,"=31",'Unos rashoda P4'!$S$3:$S$501,"=31")</f>
        <v>0</v>
      </c>
      <c r="G77" s="74">
        <f>SUMIFS('Unos rashoda i izdataka'!$K$3:$K$575,'Unos rashoda i izdataka'!$C$3:$C$575,"=41",'Unos rashoda i izdataka'!$P$3:$P$575,"=31")+SUMIFS('Unos rashoda P4'!$I$3:$I$501,'Unos rashoda P4'!$A$3:$A$501,"=41",'Unos rashoda P4'!$S$3:$S$501,"=31")</f>
        <v>0</v>
      </c>
      <c r="H77" s="74">
        <f>SUMIFS('Unos rashoda i izdataka'!$K$3:$K$575,'Unos rashoda i izdataka'!$C$3:$C$575,"=43",'Unos rashoda i izdataka'!$P$3:$P$575,"=31")+SUMIFS('Unos rashoda P4'!$I$3:$I$501,'Unos rashoda P4'!$A$3:$A$501,"=43",'Unos rashoda P4'!$S$3:$S$501,"=31")</f>
        <v>38640</v>
      </c>
      <c r="I77" s="74">
        <f>SUMIFS('Unos rashoda i izdataka'!$K$3:$K$575,'Unos rashoda i izdataka'!$C$3:$C$575,"=51",'Unos rashoda i izdataka'!$P$3:$P$575,"=31")+SUMIFS('Unos rashoda P4'!$I$3:$I$501,'Unos rashoda P4'!$A$3:$A$501,"=51",'Unos rashoda P4'!$S$3:$S$501,"=31")</f>
        <v>0</v>
      </c>
      <c r="J77" s="74">
        <f>SUMIFS('Unos rashoda i izdataka'!$K$3:$K$575,'Unos rashoda i izdataka'!$C$3:$C$575,"=52",'Unos rashoda i izdataka'!$P$3:$P$575,"=31")+SUMIFS('Unos rashoda P4'!$I$3:$I$501,'Unos rashoda P4'!$A$3:$A$501,"=52",'Unos rashoda P4'!$S$3:$S$501,"=31")</f>
        <v>0</v>
      </c>
      <c r="K77" s="74">
        <f>SUMIFS('Unos rashoda i izdataka'!$K$3:$K$575,'Unos rashoda i izdataka'!$C$3:$C$575,"=552",'Unos rashoda i izdataka'!$P$3:$P$575,"=31")+SUMIFS('Unos rashoda P4'!$I$3:$I$501,'Unos rashoda P4'!$A$3:$A$501,"=552",'Unos rashoda P4'!$S$3:$S$501,"=31")</f>
        <v>0</v>
      </c>
      <c r="L77" s="74">
        <f>SUMIFS('Unos rashoda i izdataka'!$K$3:$K$575,'Unos rashoda i izdataka'!$C$3:$C$575,"=559",'Unos rashoda i izdataka'!$P$3:$P$575,"=31")+SUMIFS('Unos rashoda P4'!$I$3:$I$501,'Unos rashoda P4'!$A$3:$A$501,"=559",'Unos rashoda P4'!$S$3:$S$501,"=31")</f>
        <v>0</v>
      </c>
      <c r="M77" s="74">
        <f>SUMIFS('Unos rashoda i izdataka'!$K$3:$K$575,'Unos rashoda i izdataka'!$C$3:$C$575,"=561",'Unos rashoda i izdataka'!$P$3:$P$575,"=31")+SUMIFS('Unos rashoda P4'!$I$3:$I$501,'Unos rashoda P4'!$A$3:$A$501,"=561",'Unos rashoda P4'!$S$3:$S$501,"=31")</f>
        <v>0</v>
      </c>
      <c r="N77" s="74">
        <f>SUMIFS('Unos rashoda i izdataka'!$K$3:$K$575,'Unos rashoda i izdataka'!$C$3:$C$575,"=563",'Unos rashoda i izdataka'!$P$3:$P$575,"=31")+SUMIFS('Unos rashoda P4'!$I$3:$I$501,'Unos rashoda P4'!$A$3:$A$501,"=563",'Unos rashoda P4'!$S$3:$S$501,"=31")</f>
        <v>0</v>
      </c>
      <c r="O77" s="74">
        <f>SUMIFS('Unos rashoda i izdataka'!$K$3:$K$575,'Unos rashoda i izdataka'!$C$3:$C$575,"=573",'Unos rashoda i izdataka'!$P$3:$P$575,"=31")+SUMIFS('Unos rashoda P4'!$I$3:$I$501,'Unos rashoda P4'!$A$3:$A$501,"=573",'Unos rashoda P4'!$S$3:$S$501,"=31")</f>
        <v>0</v>
      </c>
      <c r="P77" s="74">
        <f>SUMIFS('Unos rashoda i izdataka'!$K$3:$K$575,'Unos rashoda i izdataka'!$C$3:$C$575,"=575",'Unos rashoda i izdataka'!$P$3:$P$575,"=31")+SUMIFS('Unos rashoda P4'!$I$3:$I$501,'Unos rashoda P4'!$A$3:$A$501,"=575",'Unos rashoda P4'!$S$3:$S$501,"=31")</f>
        <v>0</v>
      </c>
      <c r="Q77" s="74">
        <f>SUMIFS('Unos rashoda i izdataka'!$K$3:$K$575,'Unos rashoda i izdataka'!$Q$3:$Q$575,"=576",'Unos rashoda i izdataka'!$P$3:$P$575,"=31")+SUMIFS('Unos rashoda P4'!$I$3:$I$501,'Unos rashoda P4'!$A$3:$A$501,"=576",'Unos rashoda P4'!$S$3:$S$501,"=31")</f>
        <v>0</v>
      </c>
      <c r="R77" s="74">
        <f>SUMIFS('Unos rashoda i izdataka'!$K$3:$K$575,'Unos rashoda i izdataka'!$C$3:$C$575,"=581",'Unos rashoda i izdataka'!$P$3:$P$575,"=31")+SUMIFS('Unos rashoda P4'!$I$3:$I$501,'Unos rashoda P4'!$A$3:$A$501,"=581",'Unos rashoda P4'!$S$3:$S$501,"=31")</f>
        <v>0</v>
      </c>
      <c r="S77" s="74">
        <f>SUMIFS('Unos rashoda i izdataka'!$K$3:$K$575,'Unos rashoda i izdataka'!$C$3:$C$575,"=61",'Unos rashoda i izdataka'!$P$3:$P$575,"=31")+SUMIFS('Unos rashoda P4'!$I$3:$I$501,'Unos rashoda P4'!$A$3:$A$501,"=61",'Unos rashoda P4'!$S$3:$S$501,"=31")</f>
        <v>0</v>
      </c>
      <c r="T77" s="74">
        <f>SUMIFS('Unos rashoda i izdataka'!$K$3:$K$575,'Unos rashoda i izdataka'!$C$3:$C$575,"=63",'Unos rashoda i izdataka'!$P$3:$P$575,"=31")+SUMIFS('Unos rashoda P4'!$I$3:$I$501,'Unos rashoda P4'!$A$3:$A$501,"=63",'Unos rashoda P4'!$S$3:$S$501,"=31")</f>
        <v>0</v>
      </c>
      <c r="U77" s="74">
        <f>SUMIFS('Unos rashoda i izdataka'!$K$3:$K$575,'Unos rashoda i izdataka'!$C$3:$C$575,"=71",'Unos rashoda i izdataka'!$P$3:$P$575,"=31")+SUMIFS('Unos rashoda P4'!$I$3:$I$501,'Unos rashoda P4'!$A$3:$A$501,"=71",'Unos rashoda P4'!$S$3:$S$501,"=31")</f>
        <v>0</v>
      </c>
      <c r="V77" s="74">
        <f>SUMIFS('Unos rashoda i izdataka'!$K$3:$K$575,'Unos rashoda i izdataka'!$C$3:$C$575,"=81",'Unos rashoda i izdataka'!$P$3:$P$575,"=31")+SUMIFS('Unos rashoda P4'!$I$3:$I$501,'Unos rashoda P4'!$A$3:$A$501,"=81",'Unos rashoda P4'!$S$3:$S$501,"=31")</f>
        <v>0</v>
      </c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</row>
    <row r="78" spans="1:262" s="35" customFormat="1" ht="12.6" customHeight="1">
      <c r="A78" s="334">
        <v>32</v>
      </c>
      <c r="B78" s="10" t="s">
        <v>199</v>
      </c>
      <c r="C78" s="71">
        <f t="shared" si="5"/>
        <v>424742.48525707517</v>
      </c>
      <c r="D78" s="74">
        <f>SUMIFS('Unos rashoda i izdataka'!$K$3:$K$575,'Unos rashoda i izdataka'!$C$3:$C$575,"=11",'Unos rashoda i izdataka'!$P$3:$P$575,"=32")+SUMIFS('Unos rashoda P4'!$I$3:$I$501,'Unos rashoda P4'!$A$3:$A$501,"=11",'Unos rashoda P4'!$S$3:$S$501,"=32")</f>
        <v>143610.48525707517</v>
      </c>
      <c r="E78" s="74">
        <f>SUMIFS('Unos rashoda i izdataka'!$K$3:$K$575,'Unos rashoda i izdataka'!$C$3:$C$575,"=12",'Unos rashoda i izdataka'!$P$3:$P$575,"=32")+SUMIFS('Unos rashoda P4'!$I$3:$I$501,'Unos rashoda P4'!$A$3:$A$501,"=12",'Unos rashoda P4'!$S$3:$S$501,"=32")</f>
        <v>0</v>
      </c>
      <c r="F78" s="74">
        <f>SUMIFS('Unos rashoda i izdataka'!$K$3:$K$575,'Unos rashoda i izdataka'!$C$3:$C$575,"=31",'Unos rashoda i izdataka'!$P$3:$P$575,"=32")+SUMIFS('Unos rashoda P4'!$I$3:$I$501,'Unos rashoda P4'!$A$3:$A$501,"=31",'Unos rashoda P4'!$S$3:$S$501,"=32")</f>
        <v>10000</v>
      </c>
      <c r="G78" s="74">
        <f>SUMIFS('Unos rashoda i izdataka'!$K$3:$K$575,'Unos rashoda i izdataka'!$C$3:$C$575,"=41",'Unos rashoda i izdataka'!$P$3:$P$575,"=32")+SUMIFS('Unos rashoda P4'!$I$3:$I$501,'Unos rashoda P4'!$A$3:$A$501,"=41",'Unos rashoda P4'!$S$3:$S$501,"=32")</f>
        <v>0</v>
      </c>
      <c r="H78" s="74">
        <f>SUMIFS('Unos rashoda i izdataka'!$K$3:$K$575,'Unos rashoda i izdataka'!$C$3:$C$575,"=43",'Unos rashoda i izdataka'!$P$3:$P$575,"=32")+SUMIFS('Unos rashoda P4'!$I$3:$I$501,'Unos rashoda P4'!$A$3:$A$501,"=43",'Unos rashoda P4'!$S$3:$S$501,"=32")</f>
        <v>204567</v>
      </c>
      <c r="I78" s="74">
        <f>SUMIFS('Unos rashoda i izdataka'!$K$3:$K$575,'Unos rashoda i izdataka'!$C$3:$C$575,"=51",'Unos rashoda i izdataka'!$P$3:$P$575,"=32")+SUMIFS('Unos rashoda P4'!$I$3:$I$501,'Unos rashoda P4'!$A$3:$A$501,"=51",'Unos rashoda P4'!$S$3:$S$501,"=32")</f>
        <v>0</v>
      </c>
      <c r="J78" s="74">
        <f>SUMIFS('Unos rashoda i izdataka'!$K$3:$K$575,'Unos rashoda i izdataka'!$C$3:$C$575,"=52",'Unos rashoda i izdataka'!$P$3:$P$575,"=32")+SUMIFS('Unos rashoda P4'!$I$3:$I$501,'Unos rashoda P4'!$A$3:$A$501,"=52",'Unos rashoda P4'!$S$3:$S$501,"=32")</f>
        <v>66565</v>
      </c>
      <c r="K78" s="74">
        <f>SUMIFS('Unos rashoda i izdataka'!$K$3:$K$575,'Unos rashoda i izdataka'!$C$3:$C$575,"=552",'Unos rashoda i izdataka'!$P$3:$P$575,"=32")+SUMIFS('Unos rashoda P4'!$I$3:$I$501,'Unos rashoda P4'!$A$3:$A$501,"=552",'Unos rashoda P4'!$S$3:$S$501,"=32")</f>
        <v>0</v>
      </c>
      <c r="L78" s="74">
        <f>SUMIFS('Unos rashoda i izdataka'!$K$3:$K$575,'Unos rashoda i izdataka'!$C$3:$C$575,"=559",'Unos rashoda i izdataka'!$P$3:$P$575,"=32")+SUMIFS('Unos rashoda P4'!$I$3:$I$501,'Unos rashoda P4'!$A$3:$A$501,"=559",'Unos rashoda P4'!$S$3:$S$501,"=32")</f>
        <v>0</v>
      </c>
      <c r="M78" s="74">
        <f>SUMIFS('Unos rashoda i izdataka'!$K$3:$K$575,'Unos rashoda i izdataka'!$C$3:$C$575,"=561",'Unos rashoda i izdataka'!$P$3:$P$575,"=32")+SUMIFS('Unos rashoda P4'!$I$3:$I$501,'Unos rashoda P4'!$A$3:$A$501,"=561",'Unos rashoda P4'!$S$3:$S$501,"=32")</f>
        <v>0</v>
      </c>
      <c r="N78" s="74">
        <f>SUMIFS('Unos rashoda i izdataka'!$K$3:$K$575,'Unos rashoda i izdataka'!$C$3:$C$575,"=563",'Unos rashoda i izdataka'!$P$3:$P$575,"=32")+SUMIFS('Unos rashoda P4'!$I$3:$I$501,'Unos rashoda P4'!$A$3:$A$501,"=563",'Unos rashoda P4'!$S$3:$S$501,"=32")</f>
        <v>0</v>
      </c>
      <c r="O78" s="74">
        <f>SUMIFS('Unos rashoda i izdataka'!$K$3:$K$575,'Unos rashoda i izdataka'!$C$3:$C$575,"=573",'Unos rashoda i izdataka'!$P$3:$P$575,"=32")+SUMIFS('Unos rashoda P4'!$I$3:$I$501,'Unos rashoda P4'!$A$3:$A$501,"=573",'Unos rashoda P4'!$S$3:$S$501,"=32")</f>
        <v>0</v>
      </c>
      <c r="P78" s="74">
        <f>SUMIFS('Unos rashoda i izdataka'!$K$3:$K$575,'Unos rashoda i izdataka'!$C$3:$C$575,"=575",'Unos rashoda i izdataka'!$P$3:$P$575,"=32")+SUMIFS('Unos rashoda P4'!$I$3:$I$501,'Unos rashoda P4'!$A$3:$A$501,"=575",'Unos rashoda P4'!$S$3:$S$501,"=32")</f>
        <v>0</v>
      </c>
      <c r="Q78" s="74">
        <f>SUMIFS('Unos rashoda i izdataka'!$K$3:$K$575,'Unos rashoda i izdataka'!$Q$3:$Q$575,"=576",'Unos rashoda i izdataka'!$P$3:$P$575,"=32")+SUMIFS('Unos rashoda P4'!$I$3:$I$501,'Unos rashoda P4'!$A$3:$A$501,"=576",'Unos rashoda P4'!$S$3:$S$501,"=32")</f>
        <v>0</v>
      </c>
      <c r="R78" s="74">
        <f>SUMIFS('Unos rashoda i izdataka'!$K$3:$K$575,'Unos rashoda i izdataka'!$C$3:$C$575,"=581",'Unos rashoda i izdataka'!$P$3:$P$575,"=32")+SUMIFS('Unos rashoda P4'!$I$3:$I$501,'Unos rashoda P4'!$A$3:$A$501,"=581",'Unos rashoda P4'!$S$3:$S$501,"=32")</f>
        <v>0</v>
      </c>
      <c r="S78" s="74">
        <f>SUMIFS('Unos rashoda i izdataka'!$K$3:$K$575,'Unos rashoda i izdataka'!$C$3:$C$575,"=61",'Unos rashoda i izdataka'!$P$3:$P$575,"=32")+SUMIFS('Unos rashoda P4'!$I$3:$I$501,'Unos rashoda P4'!$A$3:$A$501,"=61",'Unos rashoda P4'!$S$3:$S$501,"=32")</f>
        <v>0</v>
      </c>
      <c r="T78" s="74">
        <f>SUMIFS('Unos rashoda i izdataka'!$K$3:$K$575,'Unos rashoda i izdataka'!$C$3:$C$575,"=63",'Unos rashoda i izdataka'!$P$3:$P$575,"=32")+SUMIFS('Unos rashoda P4'!$I$3:$I$501,'Unos rashoda P4'!$A$3:$A$501,"=63",'Unos rashoda P4'!$S$3:$S$501,"=32")</f>
        <v>0</v>
      </c>
      <c r="U78" s="74">
        <f>SUMIFS('Unos rashoda i izdataka'!$K$3:$K$575,'Unos rashoda i izdataka'!$C$3:$C$575,"=71",'Unos rashoda i izdataka'!$P$3:$P$575,"=32")+SUMIFS('Unos rashoda P4'!$I$3:$I$501,'Unos rashoda P4'!$A$3:$A$501,"=71",'Unos rashoda P4'!$S$3:$S$501,"=32")</f>
        <v>0</v>
      </c>
      <c r="V78" s="74">
        <f>SUMIFS('Unos rashoda i izdataka'!$K$3:$K$575,'Unos rashoda i izdataka'!$C$3:$C$575,"=81",'Unos rashoda i izdataka'!$P$3:$P$575,"=32")+SUMIFS('Unos rashoda P4'!$I$3:$I$501,'Unos rashoda P4'!$A$3:$A$501,"=81",'Unos rashoda P4'!$S$3:$S$501,"=32")</f>
        <v>0</v>
      </c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</row>
    <row r="79" spans="1:262" s="11" customFormat="1" ht="12.6" customHeight="1">
      <c r="A79" s="334">
        <v>34</v>
      </c>
      <c r="B79" s="10" t="s">
        <v>200</v>
      </c>
      <c r="C79" s="71">
        <f t="shared" si="5"/>
        <v>1333</v>
      </c>
      <c r="D79" s="74">
        <f>SUMIFS('Unos rashoda i izdataka'!$K$3:$K$575,'Unos rashoda i izdataka'!$C$3:$C$575,"=11",'Unos rashoda i izdataka'!$P$3:$P$575,"=34")+SUMIFS('Unos rashoda P4'!$I$3:$I$501,'Unos rashoda P4'!$A$3:$A$501,"=11",'Unos rashoda P4'!$S$3:$S$501,"=34")</f>
        <v>0</v>
      </c>
      <c r="E79" s="74">
        <f>SUMIFS('Unos rashoda i izdataka'!$K$3:$K$575,'Unos rashoda i izdataka'!$C$3:$C$575,"=12",'Unos rashoda i izdataka'!$P$3:$P$575,"=34")+SUMIFS('Unos rashoda P4'!$I$3:$I$501,'Unos rashoda P4'!$A$3:$A$501,"=12",'Unos rashoda P4'!$S$3:$S$501,"=34")</f>
        <v>0</v>
      </c>
      <c r="F79" s="74">
        <f>SUMIFS('Unos rashoda i izdataka'!$K$3:$K$575,'Unos rashoda i izdataka'!$C$3:$C$575,"=31",'Unos rashoda i izdataka'!$P$3:$P$575,"=34")+SUMIFS('Unos rashoda P4'!$I$3:$I$501,'Unos rashoda P4'!$A$3:$A$501,"=31",'Unos rashoda P4'!$S$3:$S$501,"=34")</f>
        <v>0</v>
      </c>
      <c r="G79" s="74">
        <f>SUMIFS('Unos rashoda i izdataka'!$K$3:$K$575,'Unos rashoda i izdataka'!$C$3:$C$575,"=41",'Unos rashoda i izdataka'!$P$3:$P$575,"=34")+SUMIFS('Unos rashoda P4'!$I$3:$I$501,'Unos rashoda P4'!$A$3:$A$501,"=41",'Unos rashoda P4'!$S$3:$S$501,"=34")</f>
        <v>0</v>
      </c>
      <c r="H79" s="74">
        <f>SUMIFS('Unos rashoda i izdataka'!$K$3:$K$575,'Unos rashoda i izdataka'!$C$3:$C$575,"=43",'Unos rashoda i izdataka'!$P$3:$P$575,"=34")+SUMIFS('Unos rashoda P4'!$I$3:$I$501,'Unos rashoda P4'!$A$3:$A$501,"=43",'Unos rashoda P4'!$S$3:$S$501,"=34")</f>
        <v>1333</v>
      </c>
      <c r="I79" s="74">
        <f>SUMIFS('Unos rashoda i izdataka'!$K$3:$K$575,'Unos rashoda i izdataka'!$C$3:$C$575,"=51",'Unos rashoda i izdataka'!$P$3:$P$575,"=34")+SUMIFS('Unos rashoda P4'!$I$3:$I$501,'Unos rashoda P4'!$A$3:$A$501,"=51",'Unos rashoda P4'!$S$3:$S$501,"=34")</f>
        <v>0</v>
      </c>
      <c r="J79" s="74">
        <f>SUMIFS('Unos rashoda i izdataka'!$K$3:$K$575,'Unos rashoda i izdataka'!$C$3:$C$575,"=52",'Unos rashoda i izdataka'!$P$3:$P$575,"=34")+SUMIFS('Unos rashoda P4'!$I$3:$I$501,'Unos rashoda P4'!$A$3:$A$501,"=52",'Unos rashoda P4'!$S$3:$S$501,"=34")</f>
        <v>0</v>
      </c>
      <c r="K79" s="74">
        <f>SUMIFS('Unos rashoda i izdataka'!$K$3:$K$575,'Unos rashoda i izdataka'!$C$3:$C$575,"=552",'Unos rashoda i izdataka'!$P$3:$P$575,"=34")+SUMIFS('Unos rashoda P4'!$I$3:$I$501,'Unos rashoda P4'!$A$3:$A$501,"=552",'Unos rashoda P4'!$S$3:$S$501,"=34")</f>
        <v>0</v>
      </c>
      <c r="L79" s="74">
        <f>SUMIFS('Unos rashoda i izdataka'!$K$3:$K$575,'Unos rashoda i izdataka'!$C$3:$C$575,"=559",'Unos rashoda i izdataka'!$P$3:$P$575,"=34")+SUMIFS('Unos rashoda P4'!$I$3:$I$501,'Unos rashoda P4'!$A$3:$A$501,"=559",'Unos rashoda P4'!$S$3:$S$501,"=34")</f>
        <v>0</v>
      </c>
      <c r="M79" s="74">
        <f>SUMIFS('Unos rashoda i izdataka'!$K$3:$K$575,'Unos rashoda i izdataka'!$C$3:$C$575,"=561",'Unos rashoda i izdataka'!$P$3:$P$575,"=34")+SUMIFS('Unos rashoda P4'!$I$3:$I$501,'Unos rashoda P4'!$A$3:$A$501,"=561",'Unos rashoda P4'!$S$3:$S$501,"=34")</f>
        <v>0</v>
      </c>
      <c r="N79" s="74">
        <f>SUMIFS('Unos rashoda i izdataka'!$K$3:$K$575,'Unos rashoda i izdataka'!$C$3:$C$575,"=563",'Unos rashoda i izdataka'!$P$3:$P$575,"=34")+SUMIFS('Unos rashoda P4'!$I$3:$I$501,'Unos rashoda P4'!$A$3:$A$501,"=563",'Unos rashoda P4'!$S$3:$S$501,"=34")</f>
        <v>0</v>
      </c>
      <c r="O79" s="74">
        <f>SUMIFS('Unos rashoda i izdataka'!$K$3:$K$575,'Unos rashoda i izdataka'!$C$3:$C$575,"=573",'Unos rashoda i izdataka'!$P$3:$P$575,"=34")+SUMIFS('Unos rashoda P4'!$I$3:$I$501,'Unos rashoda P4'!$A$3:$A$501,"=573",'Unos rashoda P4'!$S$3:$S$501,"=34")</f>
        <v>0</v>
      </c>
      <c r="P79" s="74">
        <f>SUMIFS('Unos rashoda i izdataka'!$K$3:$K$575,'Unos rashoda i izdataka'!$C$3:$C$575,"=575",'Unos rashoda i izdataka'!$P$3:$P$575,"=34")+SUMIFS('Unos rashoda P4'!$I$3:$I$501,'Unos rashoda P4'!$A$3:$A$501,"=575",'Unos rashoda P4'!$S$3:$S$501,"=34")</f>
        <v>0</v>
      </c>
      <c r="Q79" s="74">
        <f>SUMIFS('Unos rashoda i izdataka'!$K$3:$K$575,'Unos rashoda i izdataka'!$Q$3:$Q$575,"=576",'Unos rashoda i izdataka'!$P$3:$P$575,"=34")+SUMIFS('Unos rashoda P4'!$I$3:$I$501,'Unos rashoda P4'!$A$3:$A$501,"=576",'Unos rashoda P4'!$S$3:$S$501,"=34")</f>
        <v>0</v>
      </c>
      <c r="R79" s="74">
        <f>SUMIFS('Unos rashoda i izdataka'!$K$3:$K$575,'Unos rashoda i izdataka'!$C$3:$C$575,"=581",'Unos rashoda i izdataka'!$P$3:$P$575,"=34")+SUMIFS('Unos rashoda P4'!$I$3:$I$501,'Unos rashoda P4'!$A$3:$A$501,"=581",'Unos rashoda P4'!$S$3:$S$501,"=34")</f>
        <v>0</v>
      </c>
      <c r="S79" s="74">
        <f>SUMIFS('Unos rashoda i izdataka'!$K$3:$K$575,'Unos rashoda i izdataka'!$C$3:$C$575,"=61",'Unos rashoda i izdataka'!$P$3:$P$575,"=34")+SUMIFS('Unos rashoda P4'!$I$3:$I$501,'Unos rashoda P4'!$A$3:$A$501,"=61",'Unos rashoda P4'!$S$3:$S$501,"=34")</f>
        <v>0</v>
      </c>
      <c r="T79" s="74">
        <f>SUMIFS('Unos rashoda i izdataka'!$K$3:$K$575,'Unos rashoda i izdataka'!$C$3:$C$575,"=63",'Unos rashoda i izdataka'!$P$3:$P$575,"=34")+SUMIFS('Unos rashoda P4'!$I$3:$I$501,'Unos rashoda P4'!$A$3:$A$501,"=63",'Unos rashoda P4'!$S$3:$S$501,"=34")</f>
        <v>0</v>
      </c>
      <c r="U79" s="74">
        <f>SUMIFS('Unos rashoda i izdataka'!$K$3:$K$575,'Unos rashoda i izdataka'!$C$3:$C$575,"=71",'Unos rashoda i izdataka'!$P$3:$P$575,"=34")+SUMIFS('Unos rashoda P4'!$I$3:$I$501,'Unos rashoda P4'!$A$3:$A$501,"=71",'Unos rashoda P4'!$S$3:$S$501,"=34")</f>
        <v>0</v>
      </c>
      <c r="V79" s="74">
        <f>SUMIFS('Unos rashoda i izdataka'!$K$3:$K$575,'Unos rashoda i izdataka'!$C$3:$C$575,"=81",'Unos rashoda i izdataka'!$P$3:$P$575,"=34")+SUMIFS('Unos rashoda P4'!$I$3:$I$501,'Unos rashoda P4'!$A$3:$A$501,"=81",'Unos rashoda P4'!$S$3:$S$501,"=34")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35" customFormat="1" ht="12.6" customHeight="1">
      <c r="A80" s="334">
        <v>35</v>
      </c>
      <c r="B80" s="10" t="s">
        <v>252</v>
      </c>
      <c r="C80" s="71">
        <f t="shared" si="5"/>
        <v>0</v>
      </c>
      <c r="D80" s="74">
        <f>SUMIFS('Unos rashoda i izdataka'!$K$3:$K$575,'Unos rashoda i izdataka'!$C$3:$C$575,"=11",'Unos rashoda i izdataka'!$P$3:$P$575,"=35")+SUMIFS('Unos rashoda P4'!$I$3:$I$501,'Unos rashoda P4'!$A$3:$A$501,"=11",'Unos rashoda P4'!$S$3:$S$501,"=35")</f>
        <v>0</v>
      </c>
      <c r="E80" s="74">
        <f>SUMIFS('Unos rashoda i izdataka'!$K$3:$K$575,'Unos rashoda i izdataka'!$C$3:$C$575,"=12",'Unos rashoda i izdataka'!$P$3:$P$575,"=35")+SUMIFS('Unos rashoda P4'!$I$3:$I$501,'Unos rashoda P4'!$A$3:$A$501,"=12",'Unos rashoda P4'!$S$3:$S$501,"=35")</f>
        <v>0</v>
      </c>
      <c r="F80" s="74">
        <f>SUMIFS('Unos rashoda i izdataka'!$K$3:$K$575,'Unos rashoda i izdataka'!$C$3:$C$575,"=31",'Unos rashoda i izdataka'!$P$3:$P$575,"=35")+SUMIFS('Unos rashoda P4'!$I$3:$I$501,'Unos rashoda P4'!$A$3:$A$501,"=31",'Unos rashoda P4'!$S$3:$S$501,"=35")</f>
        <v>0</v>
      </c>
      <c r="G80" s="74">
        <f>SUMIFS('Unos rashoda i izdataka'!$K$3:$K$575,'Unos rashoda i izdataka'!$C$3:$C$575,"=41",'Unos rashoda i izdataka'!$P$3:$P$575,"=35")+SUMIFS('Unos rashoda P4'!$I$3:$I$501,'Unos rashoda P4'!$A$3:$A$501,"=41",'Unos rashoda P4'!$S$3:$S$501,"=35")</f>
        <v>0</v>
      </c>
      <c r="H80" s="74">
        <f>SUMIFS('Unos rashoda i izdataka'!$K$3:$K$575,'Unos rashoda i izdataka'!$C$3:$C$575,"=43",'Unos rashoda i izdataka'!$P$3:$P$575,"=35")+SUMIFS('Unos rashoda P4'!$I$3:$I$501,'Unos rashoda P4'!$A$3:$A$501,"=43",'Unos rashoda P4'!$S$3:$S$501,"=35")</f>
        <v>0</v>
      </c>
      <c r="I80" s="74">
        <f>SUMIFS('Unos rashoda i izdataka'!$K$3:$K$575,'Unos rashoda i izdataka'!$C$3:$C$575,"=51",'Unos rashoda i izdataka'!$P$3:$P$575,"=35")+SUMIFS('Unos rashoda P4'!$I$3:$I$501,'Unos rashoda P4'!$A$3:$A$501,"=51",'Unos rashoda P4'!$S$3:$S$501,"=35")</f>
        <v>0</v>
      </c>
      <c r="J80" s="74">
        <f>SUMIFS('Unos rashoda i izdataka'!$K$3:$K$575,'Unos rashoda i izdataka'!$C$3:$C$575,"=52",'Unos rashoda i izdataka'!$P$3:$P$575,"=35")+SUMIFS('Unos rashoda P4'!$I$3:$I$501,'Unos rashoda P4'!$A$3:$A$501,"=52",'Unos rashoda P4'!$S$3:$S$501,"=35")</f>
        <v>0</v>
      </c>
      <c r="K80" s="74">
        <f>SUMIFS('Unos rashoda i izdataka'!$K$3:$K$575,'Unos rashoda i izdataka'!$C$3:$C$575,"=552",'Unos rashoda i izdataka'!$P$3:$P$575,"=35")+SUMIFS('Unos rashoda P4'!$I$3:$I$501,'Unos rashoda P4'!$A$3:$A$501,"=552",'Unos rashoda P4'!$S$3:$S$501,"=35")</f>
        <v>0</v>
      </c>
      <c r="L80" s="74">
        <f>SUMIFS('Unos rashoda i izdataka'!$K$3:$K$575,'Unos rashoda i izdataka'!$C$3:$C$575,"=559",'Unos rashoda i izdataka'!$P$3:$P$575,"=35")+SUMIFS('Unos rashoda P4'!$I$3:$I$501,'Unos rashoda P4'!$A$3:$A$501,"=559",'Unos rashoda P4'!$S$3:$S$501,"=35")</f>
        <v>0</v>
      </c>
      <c r="M80" s="74">
        <f>SUMIFS('Unos rashoda i izdataka'!$K$3:$K$575,'Unos rashoda i izdataka'!$C$3:$C$575,"=561",'Unos rashoda i izdataka'!$P$3:$P$575,"=35")+SUMIFS('Unos rashoda P4'!$I$3:$I$501,'Unos rashoda P4'!$A$3:$A$501,"=561",'Unos rashoda P4'!$S$3:$S$501,"=35")</f>
        <v>0</v>
      </c>
      <c r="N80" s="74">
        <f>SUMIFS('Unos rashoda i izdataka'!$K$3:$K$575,'Unos rashoda i izdataka'!$C$3:$C$575,"=563",'Unos rashoda i izdataka'!$P$3:$P$575,"=35")+SUMIFS('Unos rashoda P4'!$I$3:$I$501,'Unos rashoda P4'!$A$3:$A$501,"=563",'Unos rashoda P4'!$S$3:$S$501,"=35")</f>
        <v>0</v>
      </c>
      <c r="O80" s="74">
        <f>SUMIFS('Unos rashoda i izdataka'!$K$3:$K$575,'Unos rashoda i izdataka'!$C$3:$C$575,"=573",'Unos rashoda i izdataka'!$P$3:$P$575,"=35")+SUMIFS('Unos rashoda P4'!$I$3:$I$501,'Unos rashoda P4'!$A$3:$A$501,"=573",'Unos rashoda P4'!$S$3:$S$501,"=35")</f>
        <v>0</v>
      </c>
      <c r="P80" s="74">
        <f>SUMIFS('Unos rashoda i izdataka'!$K$3:$K$575,'Unos rashoda i izdataka'!$C$3:$C$575,"=575",'Unos rashoda i izdataka'!$P$3:$P$575,"=35")+SUMIFS('Unos rashoda P4'!$I$3:$I$501,'Unos rashoda P4'!$A$3:$A$501,"=575",'Unos rashoda P4'!$S$3:$S$501,"=35")</f>
        <v>0</v>
      </c>
      <c r="Q80" s="74">
        <f>SUMIFS('Unos rashoda i izdataka'!$K$3:$K$575,'Unos rashoda i izdataka'!$Q$3:$Q$575,"=576",'Unos rashoda i izdataka'!$P$3:$P$575,"=35")+SUMIFS('Unos rashoda P4'!$I$3:$I$501,'Unos rashoda P4'!$A$3:$A$501,"=576",'Unos rashoda P4'!$S$3:$S$501,"=35")</f>
        <v>0</v>
      </c>
      <c r="R80" s="74">
        <f>SUMIFS('Unos rashoda i izdataka'!$K$3:$K$575,'Unos rashoda i izdataka'!$C$3:$C$575,"=581",'Unos rashoda i izdataka'!$P$3:$P$575,"=35")+SUMIFS('Unos rashoda P4'!$I$3:$I$501,'Unos rashoda P4'!$A$3:$A$501,"=581",'Unos rashoda P4'!$S$3:$S$501,"=35")</f>
        <v>0</v>
      </c>
      <c r="S80" s="74">
        <f>SUMIFS('Unos rashoda i izdataka'!$K$3:$K$575,'Unos rashoda i izdataka'!$C$3:$C$575,"=61",'Unos rashoda i izdataka'!$P$3:$P$575,"=35")+SUMIFS('Unos rashoda P4'!$I$3:$I$501,'Unos rashoda P4'!$A$3:$A$501,"=61",'Unos rashoda P4'!$S$3:$S$501,"=35")</f>
        <v>0</v>
      </c>
      <c r="T80" s="74">
        <f>SUMIFS('Unos rashoda i izdataka'!$K$3:$K$575,'Unos rashoda i izdataka'!$C$3:$C$575,"=63",'Unos rashoda i izdataka'!$P$3:$P$575,"=35")+SUMIFS('Unos rashoda P4'!$I$3:$I$501,'Unos rashoda P4'!$A$3:$A$501,"=63",'Unos rashoda P4'!$S$3:$S$501,"=35")</f>
        <v>0</v>
      </c>
      <c r="U80" s="74">
        <f>SUMIFS('Unos rashoda i izdataka'!$K$3:$K$575,'Unos rashoda i izdataka'!$C$3:$C$575,"=71",'Unos rashoda i izdataka'!$P$3:$P$575,"=35")+SUMIFS('Unos rashoda P4'!$I$3:$I$501,'Unos rashoda P4'!$A$3:$A$501,"=71",'Unos rashoda P4'!$S$3:$S$501,"=35")</f>
        <v>0</v>
      </c>
      <c r="V80" s="74">
        <f>SUMIFS('Unos rashoda i izdataka'!$K$3:$K$575,'Unos rashoda i izdataka'!$C$3:$C$575,"=81",'Unos rashoda i izdataka'!$P$3:$P$575,"=35")+SUMIFS('Unos rashoda P4'!$I$3:$I$501,'Unos rashoda P4'!$A$3:$A$501,"=81",'Unos rashoda P4'!$S$3:$S$501,"=35")</f>
        <v>0</v>
      </c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</row>
    <row r="81" spans="1:262" s="35" customFormat="1" ht="12.6" customHeight="1">
      <c r="A81" s="334">
        <v>36</v>
      </c>
      <c r="B81" s="12" t="s">
        <v>201</v>
      </c>
      <c r="C81" s="71">
        <f t="shared" si="5"/>
        <v>0</v>
      </c>
      <c r="D81" s="74">
        <f>SUMIFS('Unos rashoda i izdataka'!$K$3:$K$575,'Unos rashoda i izdataka'!$C$3:$C$575,"=11",'Unos rashoda i izdataka'!$P$3:$P$575,"=36")+SUMIFS('Unos rashoda P4'!$I$3:$I$501,'Unos rashoda P4'!$A$3:$A$501,"=11",'Unos rashoda P4'!$S$3:$S$501,"=36")</f>
        <v>0</v>
      </c>
      <c r="E81" s="74">
        <f>SUMIFS('Unos rashoda i izdataka'!$K$3:$K$575,'Unos rashoda i izdataka'!$C$3:$C$575,"=12",'Unos rashoda i izdataka'!$P$3:$P$575,"=36")+SUMIFS('Unos rashoda P4'!$I$3:$I$501,'Unos rashoda P4'!$A$3:$A$501,"=12",'Unos rashoda P4'!$S$3:$S$501,"=36")</f>
        <v>0</v>
      </c>
      <c r="F81" s="74">
        <f>SUMIFS('Unos rashoda i izdataka'!$K$3:$K$575,'Unos rashoda i izdataka'!$C$3:$C$575,"=31",'Unos rashoda i izdataka'!$P$3:$P$575,"=36")+SUMIFS('Unos rashoda P4'!$I$3:$I$501,'Unos rashoda P4'!$A$3:$A$501,"=31",'Unos rashoda P4'!$S$3:$S$501,"=36")</f>
        <v>0</v>
      </c>
      <c r="G81" s="74">
        <f>SUMIFS('Unos rashoda i izdataka'!$K$3:$K$575,'Unos rashoda i izdataka'!$C$3:$C$575,"=41",'Unos rashoda i izdataka'!$P$3:$P$575,"=36")+SUMIFS('Unos rashoda P4'!$I$3:$I$501,'Unos rashoda P4'!$A$3:$A$501,"=41",'Unos rashoda P4'!$S$3:$S$501,"=36")</f>
        <v>0</v>
      </c>
      <c r="H81" s="74">
        <f>SUMIFS('Unos rashoda i izdataka'!$K$3:$K$575,'Unos rashoda i izdataka'!$C$3:$C$575,"=43",'Unos rashoda i izdataka'!$P$3:$P$575,"=36")+SUMIFS('Unos rashoda P4'!$I$3:$I$501,'Unos rashoda P4'!$A$3:$A$501,"=43",'Unos rashoda P4'!$S$3:$S$501,"=36")</f>
        <v>0</v>
      </c>
      <c r="I81" s="74">
        <f>SUMIFS('Unos rashoda i izdataka'!$K$3:$K$575,'Unos rashoda i izdataka'!$C$3:$C$575,"=51",'Unos rashoda i izdataka'!$P$3:$P$575,"=36")+SUMIFS('Unos rashoda P4'!$I$3:$I$501,'Unos rashoda P4'!$A$3:$A$501,"=51",'Unos rashoda P4'!$S$3:$S$501,"=36")</f>
        <v>0</v>
      </c>
      <c r="J81" s="74">
        <f>SUMIFS('Unos rashoda i izdataka'!$K$3:$K$575,'Unos rashoda i izdataka'!$C$3:$C$575,"=52",'Unos rashoda i izdataka'!$P$3:$P$575,"=36")+SUMIFS('Unos rashoda P4'!$I$3:$I$501,'Unos rashoda P4'!$A$3:$A$501,"=52",'Unos rashoda P4'!$S$3:$S$501,"=36")</f>
        <v>0</v>
      </c>
      <c r="K81" s="74">
        <f>SUMIFS('Unos rashoda i izdataka'!$K$3:$K$575,'Unos rashoda i izdataka'!$C$3:$C$575,"=552",'Unos rashoda i izdataka'!$P$3:$P$575,"=36")+SUMIFS('Unos rashoda P4'!$I$3:$I$501,'Unos rashoda P4'!$A$3:$A$501,"=552",'Unos rashoda P4'!$S$3:$S$501,"=36")</f>
        <v>0</v>
      </c>
      <c r="L81" s="74">
        <f>SUMIFS('Unos rashoda i izdataka'!$K$3:$K$575,'Unos rashoda i izdataka'!$C$3:$C$575,"=559",'Unos rashoda i izdataka'!$P$3:$P$575,"=36")+SUMIFS('Unos rashoda P4'!$I$3:$I$501,'Unos rashoda P4'!$A$3:$A$501,"=559",'Unos rashoda P4'!$S$3:$S$501,"=36")</f>
        <v>0</v>
      </c>
      <c r="M81" s="74">
        <f>SUMIFS('Unos rashoda i izdataka'!$K$3:$K$575,'Unos rashoda i izdataka'!$C$3:$C$575,"=561",'Unos rashoda i izdataka'!$P$3:$P$575,"=36")+SUMIFS('Unos rashoda P4'!$I$3:$I$501,'Unos rashoda P4'!$A$3:$A$501,"=561",'Unos rashoda P4'!$S$3:$S$501,"=36")</f>
        <v>0</v>
      </c>
      <c r="N81" s="74">
        <f>SUMIFS('Unos rashoda i izdataka'!$K$3:$K$575,'Unos rashoda i izdataka'!$C$3:$C$575,"=563",'Unos rashoda i izdataka'!$P$3:$P$575,"=36")+SUMIFS('Unos rashoda P4'!$I$3:$I$501,'Unos rashoda P4'!$A$3:$A$501,"=563",'Unos rashoda P4'!$S$3:$S$501,"=36")</f>
        <v>0</v>
      </c>
      <c r="O81" s="74">
        <f>SUMIFS('Unos rashoda i izdataka'!$K$3:$K$575,'Unos rashoda i izdataka'!$C$3:$C$575,"=573",'Unos rashoda i izdataka'!$P$3:$P$575,"=36")+SUMIFS('Unos rashoda P4'!$I$3:$I$501,'Unos rashoda P4'!$A$3:$A$501,"=573",'Unos rashoda P4'!$S$3:$S$501,"=36")</f>
        <v>0</v>
      </c>
      <c r="P81" s="74">
        <f>SUMIFS('Unos rashoda i izdataka'!$K$3:$K$575,'Unos rashoda i izdataka'!$C$3:$C$575,"=575",'Unos rashoda i izdataka'!$P$3:$P$575,"=36")+SUMIFS('Unos rashoda P4'!$I$3:$I$501,'Unos rashoda P4'!$A$3:$A$501,"=575",'Unos rashoda P4'!$S$3:$S$501,"=36")</f>
        <v>0</v>
      </c>
      <c r="Q81" s="74">
        <f>SUMIFS('Unos rashoda i izdataka'!$K$3:$K$575,'Unos rashoda i izdataka'!$Q$3:$Q$575,"=576",'Unos rashoda i izdataka'!$P$3:$P$575,"=36")+SUMIFS('Unos rashoda P4'!$I$3:$I$501,'Unos rashoda P4'!$A$3:$A$501,"=576",'Unos rashoda P4'!$S$3:$S$501,"=36")</f>
        <v>0</v>
      </c>
      <c r="R81" s="74">
        <f>SUMIFS('Unos rashoda i izdataka'!$K$3:$K$575,'Unos rashoda i izdataka'!$C$3:$C$575,"=581",'Unos rashoda i izdataka'!$P$3:$P$575,"=36")+SUMIFS('Unos rashoda P4'!$I$3:$I$501,'Unos rashoda P4'!$A$3:$A$501,"=581",'Unos rashoda P4'!$S$3:$S$501,"=36")</f>
        <v>0</v>
      </c>
      <c r="S81" s="74">
        <f>SUMIFS('Unos rashoda i izdataka'!$K$3:$K$575,'Unos rashoda i izdataka'!$C$3:$C$575,"=61",'Unos rashoda i izdataka'!$P$3:$P$575,"=36")+SUMIFS('Unos rashoda P4'!$I$3:$I$501,'Unos rashoda P4'!$A$3:$A$501,"=61",'Unos rashoda P4'!$S$3:$S$501,"=36")</f>
        <v>0</v>
      </c>
      <c r="T81" s="74">
        <f>SUMIFS('Unos rashoda i izdataka'!$K$3:$K$575,'Unos rashoda i izdataka'!$C$3:$C$575,"=63",'Unos rashoda i izdataka'!$P$3:$P$575,"=36")+SUMIFS('Unos rashoda P4'!$I$3:$I$501,'Unos rashoda P4'!$A$3:$A$501,"=63",'Unos rashoda P4'!$S$3:$S$501,"=36")</f>
        <v>0</v>
      </c>
      <c r="U81" s="74">
        <f>SUMIFS('Unos rashoda i izdataka'!$K$3:$K$575,'Unos rashoda i izdataka'!$C$3:$C$575,"=71",'Unos rashoda i izdataka'!$P$3:$P$575,"=36")+SUMIFS('Unos rashoda P4'!$I$3:$I$501,'Unos rashoda P4'!$A$3:$A$501,"=71",'Unos rashoda P4'!$S$3:$S$501,"=36")</f>
        <v>0</v>
      </c>
      <c r="V81" s="74">
        <f>SUMIFS('Unos rashoda i izdataka'!$K$3:$K$575,'Unos rashoda i izdataka'!$C$3:$C$575,"=81",'Unos rashoda i izdataka'!$P$3:$P$575,"=36")+SUMIFS('Unos rashoda P4'!$I$3:$I$501,'Unos rashoda P4'!$A$3:$A$501,"=81",'Unos rashoda P4'!$S$3:$S$501,"=36")</f>
        <v>0</v>
      </c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</row>
    <row r="82" spans="1:262" s="13" customFormat="1" ht="12.6" customHeight="1">
      <c r="A82" s="334">
        <v>37</v>
      </c>
      <c r="B82" s="10" t="s">
        <v>253</v>
      </c>
      <c r="C82" s="71">
        <f t="shared" si="5"/>
        <v>8787.0866882154078</v>
      </c>
      <c r="D82" s="74">
        <f>SUMIFS('Unos rashoda i izdataka'!$K$3:$K$575,'Unos rashoda i izdataka'!$C$3:$C$575,"=11",'Unos rashoda i izdataka'!$P$3:$P$575,"=37")+SUMIFS('Unos rashoda P4'!$I$3:$I$501,'Unos rashoda P4'!$A$3:$A$501,"=11",'Unos rashoda P4'!$S$3:$S$501,"=37")</f>
        <v>8787.0866882154078</v>
      </c>
      <c r="E82" s="74">
        <f>SUMIFS('Unos rashoda i izdataka'!$K$3:$K$575,'Unos rashoda i izdataka'!$C$3:$C$575,"=12",'Unos rashoda i izdataka'!$P$3:$P$575,"=37")+SUMIFS('Unos rashoda P4'!$I$3:$I$501,'Unos rashoda P4'!$A$3:$A$501,"=12",'Unos rashoda P4'!$S$3:$S$501,"=37")</f>
        <v>0</v>
      </c>
      <c r="F82" s="74">
        <f>SUMIFS('Unos rashoda i izdataka'!$K$3:$K$575,'Unos rashoda i izdataka'!$C$3:$C$575,"=31",'Unos rashoda i izdataka'!$P$3:$P$575,"=37")+SUMIFS('Unos rashoda P4'!$I$3:$I$501,'Unos rashoda P4'!$A$3:$A$501,"=31",'Unos rashoda P4'!$S$3:$S$501,"=37")</f>
        <v>0</v>
      </c>
      <c r="G82" s="74">
        <f>SUMIFS('Unos rashoda i izdataka'!$K$3:$K$575,'Unos rashoda i izdataka'!$C$3:$C$575,"=41",'Unos rashoda i izdataka'!$P$3:$P$575,"=37")+SUMIFS('Unos rashoda P4'!$I$3:$I$501,'Unos rashoda P4'!$A$3:$A$501,"=41",'Unos rashoda P4'!$S$3:$S$501,"=37")</f>
        <v>0</v>
      </c>
      <c r="H82" s="74">
        <f>SUMIFS('Unos rashoda i izdataka'!$K$3:$K$575,'Unos rashoda i izdataka'!$C$3:$C$575,"=43",'Unos rashoda i izdataka'!$P$3:$P$575,"=37")+SUMIFS('Unos rashoda P4'!$I$3:$I$501,'Unos rashoda P4'!$A$3:$A$501,"=43",'Unos rashoda P4'!$S$3:$S$501,"=37")</f>
        <v>0</v>
      </c>
      <c r="I82" s="74">
        <f>SUMIFS('Unos rashoda i izdataka'!$K$3:$K$575,'Unos rashoda i izdataka'!$C$3:$C$575,"=51",'Unos rashoda i izdataka'!$P$3:$P$575,"=37")+SUMIFS('Unos rashoda P4'!$I$3:$I$501,'Unos rashoda P4'!$A$3:$A$501,"=51",'Unos rashoda P4'!$S$3:$S$501,"=37")</f>
        <v>0</v>
      </c>
      <c r="J82" s="74">
        <f>SUMIFS('Unos rashoda i izdataka'!$K$3:$K$575,'Unos rashoda i izdataka'!$C$3:$C$575,"=52",'Unos rashoda i izdataka'!$P$3:$P$575,"=37")+SUMIFS('Unos rashoda P4'!$I$3:$I$501,'Unos rashoda P4'!$A$3:$A$501,"=52",'Unos rashoda P4'!$S$3:$S$501,"=37")</f>
        <v>0</v>
      </c>
      <c r="K82" s="74">
        <f>SUMIFS('Unos rashoda i izdataka'!$K$3:$K$575,'Unos rashoda i izdataka'!$C$3:$C$575,"=552",'Unos rashoda i izdataka'!$P$3:$P$575,"=37")+SUMIFS('Unos rashoda P4'!$I$3:$I$501,'Unos rashoda P4'!$A$3:$A$501,"=552",'Unos rashoda P4'!$S$3:$S$501,"=37")</f>
        <v>0</v>
      </c>
      <c r="L82" s="74">
        <f>SUMIFS('Unos rashoda i izdataka'!$K$3:$K$575,'Unos rashoda i izdataka'!$C$3:$C$575,"=559",'Unos rashoda i izdataka'!$P$3:$P$575,"=37")+SUMIFS('Unos rashoda P4'!$I$3:$I$501,'Unos rashoda P4'!$A$3:$A$501,"=559",'Unos rashoda P4'!$S$3:$S$501,"=37")</f>
        <v>0</v>
      </c>
      <c r="M82" s="74">
        <f>SUMIFS('Unos rashoda i izdataka'!$K$3:$K$575,'Unos rashoda i izdataka'!$C$3:$C$575,"=561",'Unos rashoda i izdataka'!$P$3:$P$575,"=37")+SUMIFS('Unos rashoda P4'!$I$3:$I$501,'Unos rashoda P4'!$A$3:$A$501,"=561",'Unos rashoda P4'!$S$3:$S$501,"=37")</f>
        <v>0</v>
      </c>
      <c r="N82" s="74">
        <f>SUMIFS('Unos rashoda i izdataka'!$K$3:$K$575,'Unos rashoda i izdataka'!$C$3:$C$575,"=563",'Unos rashoda i izdataka'!$P$3:$P$575,"=37")+SUMIFS('Unos rashoda P4'!$I$3:$I$501,'Unos rashoda P4'!$A$3:$A$501,"=563",'Unos rashoda P4'!$S$3:$S$501,"=37")</f>
        <v>0</v>
      </c>
      <c r="O82" s="74">
        <f>SUMIFS('Unos rashoda i izdataka'!$K$3:$K$575,'Unos rashoda i izdataka'!$C$3:$C$575,"=573",'Unos rashoda i izdataka'!$P$3:$P$575,"=37")+SUMIFS('Unos rashoda P4'!$I$3:$I$501,'Unos rashoda P4'!$A$3:$A$501,"=573",'Unos rashoda P4'!$S$3:$S$501,"=37")</f>
        <v>0</v>
      </c>
      <c r="P82" s="74">
        <f>SUMIFS('Unos rashoda i izdataka'!$K$3:$K$575,'Unos rashoda i izdataka'!$C$3:$C$575,"=575",'Unos rashoda i izdataka'!$P$3:$P$575,"=37")+SUMIFS('Unos rashoda P4'!$I$3:$I$501,'Unos rashoda P4'!$A$3:$A$501,"=575",'Unos rashoda P4'!$S$3:$S$501,"=37")</f>
        <v>0</v>
      </c>
      <c r="Q82" s="74">
        <f>SUMIFS('Unos rashoda i izdataka'!$K$3:$K$575,'Unos rashoda i izdataka'!$Q$3:$Q$575,"=576",'Unos rashoda i izdataka'!$P$3:$P$575,"=37")+SUMIFS('Unos rashoda P4'!$I$3:$I$501,'Unos rashoda P4'!$A$3:$A$501,"=576",'Unos rashoda P4'!$S$3:$S$501,"=37")</f>
        <v>0</v>
      </c>
      <c r="R82" s="74">
        <f>SUMIFS('Unos rashoda i izdataka'!$K$3:$K$575,'Unos rashoda i izdataka'!$C$3:$C$575,"=581",'Unos rashoda i izdataka'!$P$3:$P$575,"=37")+SUMIFS('Unos rashoda P4'!$I$3:$I$501,'Unos rashoda P4'!$A$3:$A$501,"=581",'Unos rashoda P4'!$S$3:$S$501,"=37")</f>
        <v>0</v>
      </c>
      <c r="S82" s="74">
        <f>SUMIFS('Unos rashoda i izdataka'!$K$3:$K$575,'Unos rashoda i izdataka'!$C$3:$C$575,"=61",'Unos rashoda i izdataka'!$P$3:$P$575,"=37")+SUMIFS('Unos rashoda P4'!$I$3:$I$501,'Unos rashoda P4'!$A$3:$A$501,"=61",'Unos rashoda P4'!$S$3:$S$501,"=37")</f>
        <v>0</v>
      </c>
      <c r="T82" s="74">
        <f>SUMIFS('Unos rashoda i izdataka'!$K$3:$K$575,'Unos rashoda i izdataka'!$C$3:$C$575,"=63",'Unos rashoda i izdataka'!$P$3:$P$575,"=37")+SUMIFS('Unos rashoda P4'!$I$3:$I$501,'Unos rashoda P4'!$A$3:$A$501,"=63",'Unos rashoda P4'!$S$3:$S$501,"=37")</f>
        <v>0</v>
      </c>
      <c r="U82" s="74">
        <f>SUMIFS('Unos rashoda i izdataka'!$K$3:$K$575,'Unos rashoda i izdataka'!$C$3:$C$575,"=71",'Unos rashoda i izdataka'!$P$3:$P$575,"=37")+SUMIFS('Unos rashoda P4'!$I$3:$I$501,'Unos rashoda P4'!$A$3:$A$501,"=71",'Unos rashoda P4'!$S$3:$S$501,"=37")</f>
        <v>0</v>
      </c>
      <c r="V82" s="74">
        <f>SUMIFS('Unos rashoda i izdataka'!$K$3:$K$575,'Unos rashoda i izdataka'!$C$3:$C$575,"=81",'Unos rashoda i izdataka'!$P$3:$P$575,"=37")+SUMIFS('Unos rashoda P4'!$I$3:$I$501,'Unos rashoda P4'!$A$3:$A$501,"=81",'Unos rashoda P4'!$S$3:$S$501,"=37")</f>
        <v>0</v>
      </c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</row>
    <row r="83" spans="1:262" s="13" customFormat="1" ht="12.6" customHeight="1">
      <c r="A83" s="334">
        <v>38</v>
      </c>
      <c r="B83" s="10" t="s">
        <v>202</v>
      </c>
      <c r="C83" s="71">
        <f t="shared" si="5"/>
        <v>9753.3053685182422</v>
      </c>
      <c r="D83" s="74">
        <f>SUMIFS('Unos rashoda i izdataka'!$K$3:$K$575,'Unos rashoda i izdataka'!$C$3:$C$575,"=11",'Unos rashoda i izdataka'!$P$3:$P$575,"=38")+SUMIFS('Unos rashoda P4'!$I$3:$I$501,'Unos rashoda P4'!$A$3:$A$501,"=11",'Unos rashoda P4'!$S$3:$S$501,"=38")</f>
        <v>7086.3053685182422</v>
      </c>
      <c r="E83" s="74">
        <f>SUMIFS('Unos rashoda i izdataka'!$K$3:$K$575,'Unos rashoda i izdataka'!$C$3:$C$575,"=12",'Unos rashoda i izdataka'!$P$3:$P$575,"=38")+SUMIFS('Unos rashoda P4'!$I$3:$I$501,'Unos rashoda P4'!$A$3:$A$501,"=12",'Unos rashoda P4'!$S$3:$S$501,"=38")</f>
        <v>0</v>
      </c>
      <c r="F83" s="74">
        <f>SUMIFS('Unos rashoda i izdataka'!$K$3:$K$575,'Unos rashoda i izdataka'!$C$3:$C$575,"=31",'Unos rashoda i izdataka'!$P$3:$P$575,"=38")+SUMIFS('Unos rashoda P4'!$I$3:$I$501,'Unos rashoda P4'!$A$3:$A$501,"=31",'Unos rashoda P4'!$S$3:$S$501,"=38")</f>
        <v>0</v>
      </c>
      <c r="G83" s="74">
        <f>SUMIFS('Unos rashoda i izdataka'!$K$3:$K$575,'Unos rashoda i izdataka'!$C$3:$C$575,"=41",'Unos rashoda i izdataka'!$P$3:$P$575,"=38")+SUMIFS('Unos rashoda P4'!$I$3:$I$501,'Unos rashoda P4'!$A$3:$A$501,"=41",'Unos rashoda P4'!$S$3:$S$501,"=38")</f>
        <v>0</v>
      </c>
      <c r="H83" s="74">
        <f>SUMIFS('Unos rashoda i izdataka'!$K$3:$K$575,'Unos rashoda i izdataka'!$C$3:$C$575,"=43",'Unos rashoda i izdataka'!$P$3:$P$575,"=38")+SUMIFS('Unos rashoda P4'!$I$3:$I$501,'Unos rashoda P4'!$A$3:$A$501,"=43",'Unos rashoda P4'!$S$3:$S$501,"=38")</f>
        <v>2667</v>
      </c>
      <c r="I83" s="74">
        <f>SUMIFS('Unos rashoda i izdataka'!$K$3:$K$575,'Unos rashoda i izdataka'!$C$3:$C$575,"=51",'Unos rashoda i izdataka'!$P$3:$P$575,"=38")+SUMIFS('Unos rashoda P4'!$I$3:$I$501,'Unos rashoda P4'!$A$3:$A$501,"=51",'Unos rashoda P4'!$S$3:$S$501,"=38")</f>
        <v>0</v>
      </c>
      <c r="J83" s="74">
        <f>SUMIFS('Unos rashoda i izdataka'!$K$3:$K$575,'Unos rashoda i izdataka'!$C$3:$C$575,"=52",'Unos rashoda i izdataka'!$P$3:$P$575,"=38")+SUMIFS('Unos rashoda P4'!$I$3:$I$501,'Unos rashoda P4'!$A$3:$A$501,"=52",'Unos rashoda P4'!$S$3:$S$501,"=38")</f>
        <v>0</v>
      </c>
      <c r="K83" s="74">
        <f>SUMIFS('Unos rashoda i izdataka'!$K$3:$K$575,'Unos rashoda i izdataka'!$C$3:$C$575,"=552",'Unos rashoda i izdataka'!$P$3:$P$575,"=38")+SUMIFS('Unos rashoda P4'!$I$3:$I$501,'Unos rashoda P4'!$A$3:$A$501,"=552",'Unos rashoda P4'!$S$3:$S$501,"=38")</f>
        <v>0</v>
      </c>
      <c r="L83" s="74">
        <f>SUMIFS('Unos rashoda i izdataka'!$K$3:$K$575,'Unos rashoda i izdataka'!$C$3:$C$575,"=559",'Unos rashoda i izdataka'!$P$3:$P$575,"=38")+SUMIFS('Unos rashoda P4'!$I$3:$I$501,'Unos rashoda P4'!$A$3:$A$501,"=559",'Unos rashoda P4'!$S$3:$S$501,"=38")</f>
        <v>0</v>
      </c>
      <c r="M83" s="74">
        <f>SUMIFS('Unos rashoda i izdataka'!$K$3:$K$575,'Unos rashoda i izdataka'!$C$3:$C$575,"=561",'Unos rashoda i izdataka'!$P$3:$P$575,"=38")+SUMIFS('Unos rashoda P4'!$I$3:$I$501,'Unos rashoda P4'!$A$3:$A$501,"=561",'Unos rashoda P4'!$S$3:$S$501,"=38")</f>
        <v>0</v>
      </c>
      <c r="N83" s="74">
        <f>SUMIFS('Unos rashoda i izdataka'!$K$3:$K$575,'Unos rashoda i izdataka'!$C$3:$C$575,"=563",'Unos rashoda i izdataka'!$P$3:$P$575,"=38")+SUMIFS('Unos rashoda P4'!$I$3:$I$501,'Unos rashoda P4'!$A$3:$A$501,"=563",'Unos rashoda P4'!$S$3:$S$501,"=38")</f>
        <v>0</v>
      </c>
      <c r="O83" s="74">
        <f>SUMIFS('Unos rashoda i izdataka'!$K$3:$K$575,'Unos rashoda i izdataka'!$C$3:$C$575,"=573",'Unos rashoda i izdataka'!$P$3:$P$575,"=38")+SUMIFS('Unos rashoda P4'!$I$3:$I$501,'Unos rashoda P4'!$A$3:$A$501,"=573",'Unos rashoda P4'!$S$3:$S$501,"=38")</f>
        <v>0</v>
      </c>
      <c r="P83" s="74">
        <f>SUMIFS('Unos rashoda i izdataka'!$K$3:$K$575,'Unos rashoda i izdataka'!$C$3:$C$575,"=575",'Unos rashoda i izdataka'!$P$3:$P$575,"=38")+SUMIFS('Unos rashoda P4'!$I$3:$I$501,'Unos rashoda P4'!$A$3:$A$501,"=575",'Unos rashoda P4'!$S$3:$S$501,"=38")</f>
        <v>0</v>
      </c>
      <c r="Q83" s="74">
        <f>SUMIFS('Unos rashoda i izdataka'!$K$3:$K$575,'Unos rashoda i izdataka'!$Q$3:$Q$575,"=576",'Unos rashoda i izdataka'!$P$3:$P$575,"=38")+SUMIFS('Unos rashoda P4'!$I$3:$I$501,'Unos rashoda P4'!$A$3:$A$501,"=576",'Unos rashoda P4'!$S$3:$S$501,"=38")</f>
        <v>0</v>
      </c>
      <c r="R83" s="74">
        <f>SUMIFS('Unos rashoda i izdataka'!$K$3:$K$575,'Unos rashoda i izdataka'!$C$3:$C$575,"=581",'Unos rashoda i izdataka'!$P$3:$P$575,"=38")+SUMIFS('Unos rashoda P4'!$I$3:$I$501,'Unos rashoda P4'!$A$3:$A$501,"=581",'Unos rashoda P4'!$S$3:$S$501,"=38")</f>
        <v>0</v>
      </c>
      <c r="S83" s="74">
        <f>SUMIFS('Unos rashoda i izdataka'!$K$3:$K$575,'Unos rashoda i izdataka'!$C$3:$C$575,"=61",'Unos rashoda i izdataka'!$P$3:$P$575,"=38")+SUMIFS('Unos rashoda P4'!$I$3:$I$501,'Unos rashoda P4'!$A$3:$A$501,"=61",'Unos rashoda P4'!$S$3:$S$501,"=38")</f>
        <v>0</v>
      </c>
      <c r="T83" s="74">
        <f>SUMIFS('Unos rashoda i izdataka'!$K$3:$K$575,'Unos rashoda i izdataka'!$C$3:$C$575,"=63",'Unos rashoda i izdataka'!$P$3:$P$575,"=38")+SUMIFS('Unos rashoda P4'!$I$3:$I$501,'Unos rashoda P4'!$A$3:$A$501,"=63",'Unos rashoda P4'!$S$3:$S$501,"=38")</f>
        <v>0</v>
      </c>
      <c r="U83" s="74">
        <f>SUMIFS('Unos rashoda i izdataka'!$K$3:$K$575,'Unos rashoda i izdataka'!$C$3:$C$575,"=71",'Unos rashoda i izdataka'!$P$3:$P$575,"=38")+SUMIFS('Unos rashoda P4'!$I$3:$I$501,'Unos rashoda P4'!$A$3:$A$501,"=71",'Unos rashoda P4'!$S$3:$S$501,"=38")</f>
        <v>0</v>
      </c>
      <c r="V83" s="74">
        <f>SUMIFS('Unos rashoda i izdataka'!$K$3:$K$575,'Unos rashoda i izdataka'!$C$3:$C$575,"=81",'Unos rashoda i izdataka'!$P$3:$P$575,"=38")+SUMIFS('Unos rashoda P4'!$I$3:$I$501,'Unos rashoda P4'!$A$3:$A$501,"=81",'Unos rashoda P4'!$S$3:$S$501,"=38")</f>
        <v>0</v>
      </c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  <c r="IZ83" s="36"/>
      <c r="JA83" s="36"/>
      <c r="JB83" s="36"/>
    </row>
    <row r="84" spans="1:262" s="14" customFormat="1" ht="12.6" customHeight="1">
      <c r="A84" s="335">
        <v>4</v>
      </c>
      <c r="B84" s="67" t="s">
        <v>203</v>
      </c>
      <c r="C84" s="66">
        <f t="shared" si="5"/>
        <v>1831581</v>
      </c>
      <c r="D84" s="69">
        <f>+D85+D86+D87+D88+D89</f>
        <v>202088</v>
      </c>
      <c r="E84" s="69">
        <f t="shared" ref="E84" si="8">+E85+E86+E87+E88+E89</f>
        <v>0</v>
      </c>
      <c r="F84" s="69">
        <f t="shared" ref="F84" si="9">+F85+F86+F87+F88+F89</f>
        <v>10000</v>
      </c>
      <c r="G84" s="69">
        <f t="shared" ref="G84" si="10">+G85+G86+G87+G88+G89</f>
        <v>0</v>
      </c>
      <c r="H84" s="69">
        <f t="shared" ref="H84" si="11">+H85+H86+H87+H88+H89</f>
        <v>19493</v>
      </c>
      <c r="I84" s="69">
        <f t="shared" ref="I84" si="12">+I85+I86+I87+I88+I89</f>
        <v>0</v>
      </c>
      <c r="J84" s="69">
        <f t="shared" ref="J84" si="13">+J85+J86+J87+J88+J89</f>
        <v>0</v>
      </c>
      <c r="K84" s="69">
        <f t="shared" ref="K84" si="14">+K85+K86+K87+K88+K89</f>
        <v>0</v>
      </c>
      <c r="L84" s="69">
        <f t="shared" ref="L84" si="15">+L85+L86+L87+L88+L89</f>
        <v>0</v>
      </c>
      <c r="M84" s="69">
        <f t="shared" ref="M84" si="16">+M85+M86+M87+M88+M89</f>
        <v>0</v>
      </c>
      <c r="N84" s="69">
        <f t="shared" ref="N84" si="17">+N85+N86+N87+N88+N89</f>
        <v>1600000</v>
      </c>
      <c r="O84" s="69">
        <f t="shared" ref="O84" si="18">+O85+O86+O87+O88+O89</f>
        <v>0</v>
      </c>
      <c r="P84" s="69">
        <f t="shared" ref="P84" si="19">+P85+P86+P87+P88+P89</f>
        <v>0</v>
      </c>
      <c r="Q84" s="69">
        <f t="shared" ref="Q84" si="20">+Q85+Q86+Q87+Q88+Q89</f>
        <v>0</v>
      </c>
      <c r="R84" s="69">
        <f t="shared" ref="R84" si="21">+R85+R86+R87+R88+R89</f>
        <v>0</v>
      </c>
      <c r="S84" s="69">
        <f t="shared" ref="S84" si="22">+S85+S86+S87+S88+S89</f>
        <v>0</v>
      </c>
      <c r="T84" s="69">
        <f t="shared" ref="T84" si="23">+T85+T86+T87+T88+T89</f>
        <v>0</v>
      </c>
      <c r="U84" s="69">
        <f t="shared" ref="U84" si="24">+U85+U86+U87+U88+U89</f>
        <v>0</v>
      </c>
      <c r="V84" s="69">
        <f t="shared" ref="V84" si="25">+V85+V86+V87+V88+V89</f>
        <v>0</v>
      </c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9" customFormat="1" ht="12.6" customHeight="1">
      <c r="A85" s="333">
        <v>41</v>
      </c>
      <c r="B85" s="8" t="s">
        <v>254</v>
      </c>
      <c r="C85" s="71">
        <f t="shared" si="5"/>
        <v>0</v>
      </c>
      <c r="D85" s="74">
        <f>SUMIFS('Unos rashoda i izdataka'!$K$3:$K$575,'Unos rashoda i izdataka'!$C$3:$C$575,"=11",'Unos rashoda i izdataka'!$P$3:$P$575,"=41")+SUMIFS('Unos rashoda P4'!$I$3:$I$501,'Unos rashoda P4'!$A$3:$A$501,"=11",'Unos rashoda P4'!$S$3:$S$501,"=41")</f>
        <v>0</v>
      </c>
      <c r="E85" s="74">
        <f>SUMIFS('Unos rashoda i izdataka'!$K$3:$K$575,'Unos rashoda i izdataka'!$C$3:$C$575,"=12",'Unos rashoda i izdataka'!$P$3:$P$575,"=41")+SUMIFS('Unos rashoda P4'!$I$3:$I$501,'Unos rashoda P4'!$A$3:$A$501,"=12",'Unos rashoda P4'!$S$3:$S$501,"=41")</f>
        <v>0</v>
      </c>
      <c r="F85" s="74">
        <f>SUMIFS('Unos rashoda i izdataka'!$K$3:$K$575,'Unos rashoda i izdataka'!$C$3:$C$575,"=31",'Unos rashoda i izdataka'!$P$3:$P$575,"=41")+SUMIFS('Unos rashoda P4'!$I$3:$I$501,'Unos rashoda P4'!$A$3:$A$501,"=31",'Unos rashoda P4'!$S$3:$S$501,"=41")</f>
        <v>0</v>
      </c>
      <c r="G85" s="74">
        <f>SUMIFS('Unos rashoda i izdataka'!$K$3:$K$575,'Unos rashoda i izdataka'!$C$3:$C$575,"=41",'Unos rashoda i izdataka'!$P$3:$P$575,"=41")+SUMIFS('Unos rashoda P4'!$I$3:$I$501,'Unos rashoda P4'!$A$3:$A$501,"=41",'Unos rashoda P4'!$S$3:$S$501,"=41")</f>
        <v>0</v>
      </c>
      <c r="H85" s="74">
        <f>SUMIFS('Unos rashoda i izdataka'!$K$3:$K$575,'Unos rashoda i izdataka'!$C$3:$C$575,"=43",'Unos rashoda i izdataka'!$P$3:$P$575,"=41")+SUMIFS('Unos rashoda P4'!$I$3:$I$501,'Unos rashoda P4'!$A$3:$A$501,"=43",'Unos rashoda P4'!$S$3:$S$501,"=41")</f>
        <v>0</v>
      </c>
      <c r="I85" s="74">
        <f>SUMIFS('Unos rashoda i izdataka'!$K$3:$K$575,'Unos rashoda i izdataka'!$C$3:$C$575,"=51",'Unos rashoda i izdataka'!$P$3:$P$575,"=41")+SUMIFS('Unos rashoda P4'!$I$3:$I$501,'Unos rashoda P4'!$A$3:$A$501,"=51",'Unos rashoda P4'!$S$3:$S$501,"=41")</f>
        <v>0</v>
      </c>
      <c r="J85" s="74">
        <f>SUMIFS('Unos rashoda i izdataka'!$K$3:$K$575,'Unos rashoda i izdataka'!$C$3:$C$575,"=52",'Unos rashoda i izdataka'!$P$3:$P$575,"=41")+SUMIFS('Unos rashoda P4'!$I$3:$I$501,'Unos rashoda P4'!$A$3:$A$501,"=52",'Unos rashoda P4'!$S$3:$S$501,"=41")</f>
        <v>0</v>
      </c>
      <c r="K85" s="74">
        <f>SUMIFS('Unos rashoda i izdataka'!$K$3:$K$575,'Unos rashoda i izdataka'!$C$3:$C$575,"=552",'Unos rashoda i izdataka'!$P$3:$P$575,"=41")+SUMIFS('Unos rashoda P4'!$I$3:$I$501,'Unos rashoda P4'!$A$3:$A$501,"=552",'Unos rashoda P4'!$S$3:$S$501,"=41")</f>
        <v>0</v>
      </c>
      <c r="L85" s="74">
        <f>SUMIFS('Unos rashoda i izdataka'!$K$3:$K$575,'Unos rashoda i izdataka'!$C$3:$C$575,"=559",'Unos rashoda i izdataka'!$P$3:$P$575,"=41")+SUMIFS('Unos rashoda P4'!$I$3:$I$501,'Unos rashoda P4'!$A$3:$A$501,"=559",'Unos rashoda P4'!$S$3:$S$501,"=41")</f>
        <v>0</v>
      </c>
      <c r="M85" s="74">
        <f>SUMIFS('Unos rashoda i izdataka'!$K$3:$K$575,'Unos rashoda i izdataka'!$C$3:$C$575,"=561",'Unos rashoda i izdataka'!$P$3:$P$575,"=41")+SUMIFS('Unos rashoda P4'!$I$3:$I$501,'Unos rashoda P4'!$A$3:$A$501,"=561",'Unos rashoda P4'!$S$3:$S$501,"=41")</f>
        <v>0</v>
      </c>
      <c r="N85" s="74">
        <f>SUMIFS('Unos rashoda i izdataka'!$K$3:$K$575,'Unos rashoda i izdataka'!$C$3:$C$575,"=563",'Unos rashoda i izdataka'!$P$3:$P$575,"=41")+SUMIFS('Unos rashoda P4'!$I$3:$I$501,'Unos rashoda P4'!$A$3:$A$501,"=563",'Unos rashoda P4'!$S$3:$S$501,"=41")</f>
        <v>0</v>
      </c>
      <c r="O85" s="74">
        <f>SUMIFS('Unos rashoda i izdataka'!$K$3:$K$575,'Unos rashoda i izdataka'!$C$3:$C$575,"=573",'Unos rashoda i izdataka'!$P$3:$P$575,"=41")+SUMIFS('Unos rashoda P4'!$I$3:$I$501,'Unos rashoda P4'!$A$3:$A$501,"=573",'Unos rashoda P4'!$S$3:$S$501,"=41")</f>
        <v>0</v>
      </c>
      <c r="P85" s="74">
        <f>SUMIFS('Unos rashoda i izdataka'!$K$3:$K$575,'Unos rashoda i izdataka'!$C$3:$C$575,"=575",'Unos rashoda i izdataka'!$P$3:$P$575,"=41")+SUMIFS('Unos rashoda P4'!$I$3:$I$501,'Unos rashoda P4'!$A$3:$A$501,"=575",'Unos rashoda P4'!$S$3:$S$501,"=41")</f>
        <v>0</v>
      </c>
      <c r="Q85" s="74">
        <f>SUMIFS('Unos rashoda i izdataka'!$K$3:$K$575,'Unos rashoda i izdataka'!$Q$3:$Q$575,"=576",'Unos rashoda i izdataka'!$P$3:$P$575,"=41")+SUMIFS('Unos rashoda P4'!$I$3:$I$501,'Unos rashoda P4'!$A$3:$A$501,"=576",'Unos rashoda P4'!$S$3:$S$501,"=41")</f>
        <v>0</v>
      </c>
      <c r="R85" s="74">
        <f>SUMIFS('Unos rashoda i izdataka'!$K$3:$K$575,'Unos rashoda i izdataka'!$C$3:$C$575,"=581",'Unos rashoda i izdataka'!$P$3:$P$575,"=41")+SUMIFS('Unos rashoda P4'!$I$3:$I$501,'Unos rashoda P4'!$A$3:$A$501,"=581",'Unos rashoda P4'!$S$3:$S$501,"=41")</f>
        <v>0</v>
      </c>
      <c r="S85" s="74">
        <f>SUMIFS('Unos rashoda i izdataka'!$K$3:$K$575,'Unos rashoda i izdataka'!$C$3:$C$575,"=61",'Unos rashoda i izdataka'!$P$3:$P$575,"=41")+SUMIFS('Unos rashoda P4'!$I$3:$I$501,'Unos rashoda P4'!$A$3:$A$501,"=61",'Unos rashoda P4'!$S$3:$S$501,"=41")</f>
        <v>0</v>
      </c>
      <c r="T85" s="74">
        <f>SUMIFS('Unos rashoda i izdataka'!$K$3:$K$575,'Unos rashoda i izdataka'!$C$3:$C$575,"=63",'Unos rashoda i izdataka'!$P$3:$P$575,"=41")+SUMIFS('Unos rashoda P4'!$I$3:$I$501,'Unos rashoda P4'!$A$3:$A$501,"=63",'Unos rashoda P4'!$S$3:$S$501,"=41")</f>
        <v>0</v>
      </c>
      <c r="U85" s="74">
        <f>SUMIFS('Unos rashoda i izdataka'!$K$3:$K$575,'Unos rashoda i izdataka'!$C$3:$C$575,"=71",'Unos rashoda i izdataka'!$P$3:$P$575,"=41")+SUMIFS('Unos rashoda P4'!$I$3:$I$501,'Unos rashoda P4'!$A$3:$A$501,"=71",'Unos rashoda P4'!$S$3:$S$501,"=41")</f>
        <v>0</v>
      </c>
      <c r="V85" s="74">
        <f>SUMIFS('Unos rashoda i izdataka'!$K$3:$K$575,'Unos rashoda i izdataka'!$C$3:$C$575,"=81",'Unos rashoda i izdataka'!$P$3:$P$575,"=41")+SUMIFS('Unos rashoda P4'!$I$3:$I$501,'Unos rashoda P4'!$A$3:$A$501,"=81",'Unos rashoda P4'!$S$3:$S$501,"=41")</f>
        <v>0</v>
      </c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  <c r="IX85" s="36"/>
      <c r="IY85" s="36"/>
      <c r="IZ85" s="36"/>
      <c r="JA85" s="36"/>
      <c r="JB85" s="36"/>
    </row>
    <row r="86" spans="1:262" s="13" customFormat="1" ht="12.6" customHeight="1">
      <c r="A86" s="334">
        <v>42</v>
      </c>
      <c r="B86" s="10" t="s">
        <v>231</v>
      </c>
      <c r="C86" s="71">
        <f t="shared" si="5"/>
        <v>1831581</v>
      </c>
      <c r="D86" s="74">
        <f>SUMIFS('Unos rashoda i izdataka'!$K$3:$K$575,'Unos rashoda i izdataka'!$C$3:$C$575,"=11",'Unos rashoda i izdataka'!$P$3:$P$575,"=42")+SUMIFS('Unos rashoda P4'!$I$3:$I$501,'Unos rashoda P4'!$A$3:$A$501,"=11",'Unos rashoda P4'!$S$3:$S$501,"=42")</f>
        <v>202088</v>
      </c>
      <c r="E86" s="74">
        <f>SUMIFS('Unos rashoda i izdataka'!$K$3:$K$575,'Unos rashoda i izdataka'!$C$3:$C$575,"=12",'Unos rashoda i izdataka'!$P$3:$P$575,"=42")+SUMIFS('Unos rashoda P4'!$I$3:$I$501,'Unos rashoda P4'!$A$3:$A$501,"=12",'Unos rashoda P4'!$S$3:$S$501,"=42")</f>
        <v>0</v>
      </c>
      <c r="F86" s="74">
        <f>SUMIFS('Unos rashoda i izdataka'!$K$3:$K$575,'Unos rashoda i izdataka'!$C$3:$C$575,"=31",'Unos rashoda i izdataka'!$P$3:$P$575,"=42")+SUMIFS('Unos rashoda P4'!$I$3:$I$501,'Unos rashoda P4'!$A$3:$A$501,"=31",'Unos rashoda P4'!$S$3:$S$501,"=42")</f>
        <v>10000</v>
      </c>
      <c r="G86" s="74">
        <f>SUMIFS('Unos rashoda i izdataka'!$K$3:$K$575,'Unos rashoda i izdataka'!$C$3:$C$575,"=41",'Unos rashoda i izdataka'!$P$3:$P$575,"=42")+SUMIFS('Unos rashoda P4'!$I$3:$I$501,'Unos rashoda P4'!$A$3:$A$501,"=41",'Unos rashoda P4'!$S$3:$S$501,"=42")</f>
        <v>0</v>
      </c>
      <c r="H86" s="74">
        <f>SUMIFS('Unos rashoda i izdataka'!$K$3:$K$575,'Unos rashoda i izdataka'!$C$3:$C$575,"=43",'Unos rashoda i izdataka'!$P$3:$P$575,"=42")+SUMIFS('Unos rashoda P4'!$I$3:$I$501,'Unos rashoda P4'!$A$3:$A$501,"=43",'Unos rashoda P4'!$S$3:$S$501,"=42")</f>
        <v>19493</v>
      </c>
      <c r="I86" s="74">
        <f>SUMIFS('Unos rashoda i izdataka'!$K$3:$K$575,'Unos rashoda i izdataka'!$C$3:$C$575,"=51",'Unos rashoda i izdataka'!$P$3:$P$575,"=42")+SUMIFS('Unos rashoda P4'!$I$3:$I$501,'Unos rashoda P4'!$A$3:$A$501,"=51",'Unos rashoda P4'!$S$3:$S$501,"=42")</f>
        <v>0</v>
      </c>
      <c r="J86" s="74">
        <f>SUMIFS('Unos rashoda i izdataka'!$K$3:$K$575,'Unos rashoda i izdataka'!$C$3:$C$575,"=52",'Unos rashoda i izdataka'!$P$3:$P$575,"=42")+SUMIFS('Unos rashoda P4'!$I$3:$I$501,'Unos rashoda P4'!$A$3:$A$501,"=52",'Unos rashoda P4'!$S$3:$S$501,"=42")</f>
        <v>0</v>
      </c>
      <c r="K86" s="74">
        <f>SUMIFS('Unos rashoda i izdataka'!$K$3:$K$575,'Unos rashoda i izdataka'!$C$3:$C$575,"=552",'Unos rashoda i izdataka'!$P$3:$P$575,"=42")+SUMIFS('Unos rashoda P4'!$I$3:$I$501,'Unos rashoda P4'!$A$3:$A$501,"=552",'Unos rashoda P4'!$S$3:$S$501,"=42")</f>
        <v>0</v>
      </c>
      <c r="L86" s="74">
        <f>SUMIFS('Unos rashoda i izdataka'!$K$3:$K$575,'Unos rashoda i izdataka'!$C$3:$C$575,"=559",'Unos rashoda i izdataka'!$P$3:$P$575,"=42")+SUMIFS('Unos rashoda P4'!$I$3:$I$501,'Unos rashoda P4'!$A$3:$A$501,"=559",'Unos rashoda P4'!$S$3:$S$501,"=42")</f>
        <v>0</v>
      </c>
      <c r="M86" s="74">
        <f>SUMIFS('Unos rashoda i izdataka'!$K$3:$K$575,'Unos rashoda i izdataka'!$C$3:$C$575,"=561",'Unos rashoda i izdataka'!$P$3:$P$575,"=42")+SUMIFS('Unos rashoda P4'!$I$3:$I$501,'Unos rashoda P4'!$A$3:$A$501,"=561",'Unos rashoda P4'!$S$3:$S$501,"=42")</f>
        <v>0</v>
      </c>
      <c r="N86" s="74">
        <f>SUMIFS('Unos rashoda i izdataka'!$K$3:$K$575,'Unos rashoda i izdataka'!$C$3:$C$575,"=563",'Unos rashoda i izdataka'!$P$3:$P$575,"=42")+SUMIFS('Unos rashoda P4'!$I$3:$I$501,'Unos rashoda P4'!$A$3:$A$501,"=563",'Unos rashoda P4'!$S$3:$S$501,"=42")</f>
        <v>1600000</v>
      </c>
      <c r="O86" s="74">
        <f>SUMIFS('Unos rashoda i izdataka'!$K$3:$K$575,'Unos rashoda i izdataka'!$C$3:$C$575,"=573",'Unos rashoda i izdataka'!$P$3:$P$575,"=42")+SUMIFS('Unos rashoda P4'!$I$3:$I$501,'Unos rashoda P4'!$A$3:$A$501,"=573",'Unos rashoda P4'!$S$3:$S$501,"=42")</f>
        <v>0</v>
      </c>
      <c r="P86" s="74">
        <f>SUMIFS('Unos rashoda i izdataka'!$K$3:$K$575,'Unos rashoda i izdataka'!$C$3:$C$575,"=575",'Unos rashoda i izdataka'!$P$3:$P$575,"=42")+SUMIFS('Unos rashoda P4'!$I$3:$I$501,'Unos rashoda P4'!$A$3:$A$501,"=575",'Unos rashoda P4'!$S$3:$S$501,"=42")</f>
        <v>0</v>
      </c>
      <c r="Q86" s="74">
        <f>SUMIFS('Unos rashoda i izdataka'!$K$3:$K$575,'Unos rashoda i izdataka'!$Q$3:$Q$575,"=576",'Unos rashoda i izdataka'!$P$3:$P$575,"=42")+SUMIFS('Unos rashoda P4'!$I$3:$I$501,'Unos rashoda P4'!$A$3:$A$501,"=576",'Unos rashoda P4'!$S$3:$S$501,"=42")</f>
        <v>0</v>
      </c>
      <c r="R86" s="74">
        <f>SUMIFS('Unos rashoda i izdataka'!$K$3:$K$575,'Unos rashoda i izdataka'!$C$3:$C$575,"=581",'Unos rashoda i izdataka'!$P$3:$P$575,"=42")+SUMIFS('Unos rashoda P4'!$I$3:$I$501,'Unos rashoda P4'!$A$3:$A$501,"=581",'Unos rashoda P4'!$S$3:$S$501,"=42")</f>
        <v>0</v>
      </c>
      <c r="S86" s="74">
        <f>SUMIFS('Unos rashoda i izdataka'!$K$3:$K$575,'Unos rashoda i izdataka'!$C$3:$C$575,"=61",'Unos rashoda i izdataka'!$P$3:$P$575,"=42")+SUMIFS('Unos rashoda P4'!$I$3:$I$501,'Unos rashoda P4'!$A$3:$A$501,"=61",'Unos rashoda P4'!$S$3:$S$501,"=42")</f>
        <v>0</v>
      </c>
      <c r="T86" s="74">
        <f>SUMIFS('Unos rashoda i izdataka'!$K$3:$K$575,'Unos rashoda i izdataka'!$C$3:$C$575,"=63",'Unos rashoda i izdataka'!$P$3:$P$575,"=42")+SUMIFS('Unos rashoda P4'!$I$3:$I$501,'Unos rashoda P4'!$A$3:$A$501,"=63",'Unos rashoda P4'!$S$3:$S$501,"=42")</f>
        <v>0</v>
      </c>
      <c r="U86" s="74">
        <f>SUMIFS('Unos rashoda i izdataka'!$K$3:$K$575,'Unos rashoda i izdataka'!$C$3:$C$575,"=71",'Unos rashoda i izdataka'!$P$3:$P$575,"=42")+SUMIFS('Unos rashoda P4'!$I$3:$I$501,'Unos rashoda P4'!$A$3:$A$501,"=71",'Unos rashoda P4'!$S$3:$S$501,"=42")</f>
        <v>0</v>
      </c>
      <c r="V86" s="74">
        <f>SUMIFS('Unos rashoda i izdataka'!$K$3:$K$575,'Unos rashoda i izdataka'!$C$3:$C$575,"=81",'Unos rashoda i izdataka'!$P$3:$P$575,"=42")+SUMIFS('Unos rashoda P4'!$I$3:$I$501,'Unos rashoda P4'!$A$3:$A$501,"=81",'Unos rashoda P4'!$S$3:$S$501,"=42")</f>
        <v>0</v>
      </c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X86" s="36"/>
      <c r="IY86" s="36"/>
      <c r="IZ86" s="36"/>
      <c r="JA86" s="36"/>
      <c r="JB86" s="36"/>
    </row>
    <row r="87" spans="1:262" s="9" customFormat="1" ht="12.6" customHeight="1">
      <c r="A87" s="333">
        <v>43</v>
      </c>
      <c r="B87" s="8" t="s">
        <v>255</v>
      </c>
      <c r="C87" s="71">
        <f t="shared" si="5"/>
        <v>0</v>
      </c>
      <c r="D87" s="74">
        <f>SUMIFS('Unos rashoda i izdataka'!$K$3:$K$575,'Unos rashoda i izdataka'!$C$3:$C$575,"=11",'Unos rashoda i izdataka'!$P$3:$P$575,"=43")+SUMIFS('Unos rashoda P4'!$I$3:$I$501,'Unos rashoda P4'!$A$3:$A$501,"=11",'Unos rashoda P4'!$S$3:$S$501,"=43")</f>
        <v>0</v>
      </c>
      <c r="E87" s="74">
        <f>SUMIFS('Unos rashoda i izdataka'!$K$3:$K$575,'Unos rashoda i izdataka'!$C$3:$C$575,"=12",'Unos rashoda i izdataka'!$P$3:$P$575,"=43")+SUMIFS('Unos rashoda P4'!$I$3:$I$501,'Unos rashoda P4'!$A$3:$A$501,"=12",'Unos rashoda P4'!$S$3:$S$501,"=43")</f>
        <v>0</v>
      </c>
      <c r="F87" s="74">
        <f>SUMIFS('Unos rashoda i izdataka'!$K$3:$K$575,'Unos rashoda i izdataka'!$C$3:$C$575,"=31",'Unos rashoda i izdataka'!$P$3:$P$575,"=43")+SUMIFS('Unos rashoda P4'!$I$3:$I$501,'Unos rashoda P4'!$A$3:$A$501,"=31",'Unos rashoda P4'!$S$3:$S$501,"=43")</f>
        <v>0</v>
      </c>
      <c r="G87" s="74">
        <f>SUMIFS('Unos rashoda i izdataka'!$K$3:$K$575,'Unos rashoda i izdataka'!$C$3:$C$575,"=41",'Unos rashoda i izdataka'!$P$3:$P$575,"=43")+SUMIFS('Unos rashoda P4'!$I$3:$I$501,'Unos rashoda P4'!$A$3:$A$501,"=41",'Unos rashoda P4'!$S$3:$S$501,"=43")</f>
        <v>0</v>
      </c>
      <c r="H87" s="74">
        <f>SUMIFS('Unos rashoda i izdataka'!$K$3:$K$575,'Unos rashoda i izdataka'!$C$3:$C$575,"=43",'Unos rashoda i izdataka'!$P$3:$P$575,"=43")+SUMIFS('Unos rashoda P4'!$I$3:$I$501,'Unos rashoda P4'!$A$3:$A$501,"=43",'Unos rashoda P4'!$S$3:$S$501,"=43")</f>
        <v>0</v>
      </c>
      <c r="I87" s="74">
        <f>SUMIFS('Unos rashoda i izdataka'!$K$3:$K$575,'Unos rashoda i izdataka'!$C$3:$C$575,"=51",'Unos rashoda i izdataka'!$P$3:$P$575,"=43")+SUMIFS('Unos rashoda P4'!$I$3:$I$501,'Unos rashoda P4'!$A$3:$A$501,"=51",'Unos rashoda P4'!$S$3:$S$501,"=43")</f>
        <v>0</v>
      </c>
      <c r="J87" s="74">
        <f>SUMIFS('Unos rashoda i izdataka'!$K$3:$K$575,'Unos rashoda i izdataka'!$C$3:$C$575,"=52",'Unos rashoda i izdataka'!$P$3:$P$575,"=43")+SUMIFS('Unos rashoda P4'!$I$3:$I$501,'Unos rashoda P4'!$A$3:$A$501,"=52",'Unos rashoda P4'!$S$3:$S$501,"=43")</f>
        <v>0</v>
      </c>
      <c r="K87" s="74">
        <f>SUMIFS('Unos rashoda i izdataka'!$K$3:$K$575,'Unos rashoda i izdataka'!$C$3:$C$575,"=552",'Unos rashoda i izdataka'!$P$3:$P$575,"=43")+SUMIFS('Unos rashoda P4'!$I$3:$I$501,'Unos rashoda P4'!$A$3:$A$501,"=552",'Unos rashoda P4'!$S$3:$S$501,"=43")</f>
        <v>0</v>
      </c>
      <c r="L87" s="74">
        <f>SUMIFS('Unos rashoda i izdataka'!$K$3:$K$575,'Unos rashoda i izdataka'!$C$3:$C$575,"=559",'Unos rashoda i izdataka'!$P$3:$P$575,"=43")+SUMIFS('Unos rashoda P4'!$I$3:$I$501,'Unos rashoda P4'!$A$3:$A$501,"=559",'Unos rashoda P4'!$S$3:$S$501,"=43")</f>
        <v>0</v>
      </c>
      <c r="M87" s="74">
        <f>SUMIFS('Unos rashoda i izdataka'!$K$3:$K$575,'Unos rashoda i izdataka'!$C$3:$C$575,"=561",'Unos rashoda i izdataka'!$P$3:$P$575,"=43")+SUMIFS('Unos rashoda P4'!$I$3:$I$501,'Unos rashoda P4'!$A$3:$A$501,"=561",'Unos rashoda P4'!$S$3:$S$501,"=43")</f>
        <v>0</v>
      </c>
      <c r="N87" s="74">
        <f>SUMIFS('Unos rashoda i izdataka'!$K$3:$K$575,'Unos rashoda i izdataka'!$C$3:$C$575,"=563",'Unos rashoda i izdataka'!$P$3:$P$575,"=43")+SUMIFS('Unos rashoda P4'!$I$3:$I$501,'Unos rashoda P4'!$A$3:$A$501,"=563",'Unos rashoda P4'!$S$3:$S$501,"=43")</f>
        <v>0</v>
      </c>
      <c r="O87" s="74">
        <f>SUMIFS('Unos rashoda i izdataka'!$K$3:$K$575,'Unos rashoda i izdataka'!$C$3:$C$575,"=573",'Unos rashoda i izdataka'!$P$3:$P$575,"=43")+SUMIFS('Unos rashoda P4'!$I$3:$I$501,'Unos rashoda P4'!$A$3:$A$501,"=573",'Unos rashoda P4'!$S$3:$S$501,"=43")</f>
        <v>0</v>
      </c>
      <c r="P87" s="74">
        <f>SUMIFS('Unos rashoda i izdataka'!$K$3:$K$575,'Unos rashoda i izdataka'!$C$3:$C$575,"=575",'Unos rashoda i izdataka'!$P$3:$P$575,"=43")+SUMIFS('Unos rashoda P4'!$I$3:$I$501,'Unos rashoda P4'!$A$3:$A$501,"=575",'Unos rashoda P4'!$S$3:$S$501,"=43")</f>
        <v>0</v>
      </c>
      <c r="Q87" s="74">
        <f>SUMIFS('Unos rashoda i izdataka'!$K$3:$K$575,'Unos rashoda i izdataka'!$Q$3:$Q$575,"=576",'Unos rashoda i izdataka'!$P$3:$P$575,"=43")+SUMIFS('Unos rashoda P4'!$I$3:$I$501,'Unos rashoda P4'!$A$3:$A$501,"=576",'Unos rashoda P4'!$S$3:$S$501,"=43")</f>
        <v>0</v>
      </c>
      <c r="R87" s="74">
        <f>SUMIFS('Unos rashoda i izdataka'!$K$3:$K$575,'Unos rashoda i izdataka'!$C$3:$C$575,"=581",'Unos rashoda i izdataka'!$P$3:$P$575,"=43")+SUMIFS('Unos rashoda P4'!$I$3:$I$501,'Unos rashoda P4'!$A$3:$A$501,"=581",'Unos rashoda P4'!$S$3:$S$501,"=43")</f>
        <v>0</v>
      </c>
      <c r="S87" s="74">
        <f>SUMIFS('Unos rashoda i izdataka'!$K$3:$K$575,'Unos rashoda i izdataka'!$C$3:$C$575,"=61",'Unos rashoda i izdataka'!$P$3:$P$575,"=43")+SUMIFS('Unos rashoda P4'!$I$3:$I$501,'Unos rashoda P4'!$A$3:$A$501,"=61",'Unos rashoda P4'!$S$3:$S$501,"=43")</f>
        <v>0</v>
      </c>
      <c r="T87" s="74">
        <f>SUMIFS('Unos rashoda i izdataka'!$K$3:$K$575,'Unos rashoda i izdataka'!$C$3:$C$575,"=63",'Unos rashoda i izdataka'!$P$3:$P$575,"=43")+SUMIFS('Unos rashoda P4'!$I$3:$I$501,'Unos rashoda P4'!$A$3:$A$501,"=63",'Unos rashoda P4'!$S$3:$S$501,"=43")</f>
        <v>0</v>
      </c>
      <c r="U87" s="74">
        <f>SUMIFS('Unos rashoda i izdataka'!$K$3:$K$575,'Unos rashoda i izdataka'!$C$3:$C$575,"=71",'Unos rashoda i izdataka'!$P$3:$P$575,"=43")+SUMIFS('Unos rashoda P4'!$I$3:$I$501,'Unos rashoda P4'!$A$3:$A$501,"=71",'Unos rashoda P4'!$S$3:$S$501,"=43")</f>
        <v>0</v>
      </c>
      <c r="V87" s="74">
        <f>SUMIFS('Unos rashoda i izdataka'!$K$3:$K$575,'Unos rashoda i izdataka'!$C$3:$C$575,"=81",'Unos rashoda i izdataka'!$P$3:$P$575,"=43")+SUMIFS('Unos rashoda P4'!$I$3:$I$501,'Unos rashoda P4'!$A$3:$A$501,"=81",'Unos rashoda P4'!$S$3:$S$501,"=43")</f>
        <v>0</v>
      </c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</row>
    <row r="88" spans="1:262" s="9" customFormat="1" ht="12.6" customHeight="1">
      <c r="A88" s="333">
        <v>44</v>
      </c>
      <c r="B88" s="8" t="s">
        <v>256</v>
      </c>
      <c r="C88" s="71">
        <f t="shared" si="5"/>
        <v>0</v>
      </c>
      <c r="D88" s="74">
        <f>SUMIFS('Unos rashoda i izdataka'!$K$3:$K$575,'Unos rashoda i izdataka'!$C$3:$C$575,"=11",'Unos rashoda i izdataka'!$P$3:$P$575,"=44")+SUMIFS('Unos rashoda P4'!$I$3:$I$501,'Unos rashoda P4'!$A$3:$A$501,"=11",'Unos rashoda P4'!$S$3:$S$501,"=44")</f>
        <v>0</v>
      </c>
      <c r="E88" s="74">
        <f>SUMIFS('Unos rashoda i izdataka'!$K$3:$K$575,'Unos rashoda i izdataka'!$C$3:$C$575,"=12",'Unos rashoda i izdataka'!$P$3:$P$575,"=44")+SUMIFS('Unos rashoda P4'!$I$3:$I$501,'Unos rashoda P4'!$A$3:$A$501,"=12",'Unos rashoda P4'!$S$3:$S$501,"=44")</f>
        <v>0</v>
      </c>
      <c r="F88" s="74">
        <f>SUMIFS('Unos rashoda i izdataka'!$K$3:$K$575,'Unos rashoda i izdataka'!$C$3:$C$575,"=31",'Unos rashoda i izdataka'!$P$3:$P$575,"=44")+SUMIFS('Unos rashoda P4'!$I$3:$I$501,'Unos rashoda P4'!$A$3:$A$501,"=31",'Unos rashoda P4'!$S$3:$S$501,"=44")</f>
        <v>0</v>
      </c>
      <c r="G88" s="74">
        <f>SUMIFS('Unos rashoda i izdataka'!$K$3:$K$575,'Unos rashoda i izdataka'!$C$3:$C$575,"=41",'Unos rashoda i izdataka'!$P$3:$P$575,"=44")+SUMIFS('Unos rashoda P4'!$I$3:$I$501,'Unos rashoda P4'!$A$3:$A$501,"=41",'Unos rashoda P4'!$S$3:$S$501,"=44")</f>
        <v>0</v>
      </c>
      <c r="H88" s="74">
        <f>SUMIFS('Unos rashoda i izdataka'!$K$3:$K$575,'Unos rashoda i izdataka'!$C$3:$C$575,"=43",'Unos rashoda i izdataka'!$P$3:$P$575,"=44")+SUMIFS('Unos rashoda P4'!$I$3:$I$501,'Unos rashoda P4'!$A$3:$A$501,"=43",'Unos rashoda P4'!$S$3:$S$501,"=44")</f>
        <v>0</v>
      </c>
      <c r="I88" s="74">
        <f>SUMIFS('Unos rashoda i izdataka'!$K$3:$K$575,'Unos rashoda i izdataka'!$C$3:$C$575,"=51",'Unos rashoda i izdataka'!$P$3:$P$575,"=44")+SUMIFS('Unos rashoda P4'!$I$3:$I$501,'Unos rashoda P4'!$A$3:$A$501,"=51",'Unos rashoda P4'!$S$3:$S$501,"=44")</f>
        <v>0</v>
      </c>
      <c r="J88" s="74">
        <f>SUMIFS('Unos rashoda i izdataka'!$K$3:$K$575,'Unos rashoda i izdataka'!$C$3:$C$575,"=52",'Unos rashoda i izdataka'!$P$3:$P$575,"=44")+SUMIFS('Unos rashoda P4'!$I$3:$I$501,'Unos rashoda P4'!$A$3:$A$501,"=52",'Unos rashoda P4'!$S$3:$S$501,"=44")</f>
        <v>0</v>
      </c>
      <c r="K88" s="74">
        <f>SUMIFS('Unos rashoda i izdataka'!$K$3:$K$575,'Unos rashoda i izdataka'!$C$3:$C$575,"=552",'Unos rashoda i izdataka'!$P$3:$P$575,"=44")+SUMIFS('Unos rashoda P4'!$I$3:$I$501,'Unos rashoda P4'!$A$3:$A$501,"=552",'Unos rashoda P4'!$S$3:$S$501,"=44")</f>
        <v>0</v>
      </c>
      <c r="L88" s="74">
        <f>SUMIFS('Unos rashoda i izdataka'!$K$3:$K$575,'Unos rashoda i izdataka'!$C$3:$C$575,"=559",'Unos rashoda i izdataka'!$P$3:$P$575,"=44")+SUMIFS('Unos rashoda P4'!$I$3:$I$501,'Unos rashoda P4'!$A$3:$A$501,"=559",'Unos rashoda P4'!$S$3:$S$501,"=44")</f>
        <v>0</v>
      </c>
      <c r="M88" s="74">
        <f>SUMIFS('Unos rashoda i izdataka'!$K$3:$K$575,'Unos rashoda i izdataka'!$C$3:$C$575,"=561",'Unos rashoda i izdataka'!$P$3:$P$575,"=44")+SUMIFS('Unos rashoda P4'!$I$3:$I$501,'Unos rashoda P4'!$A$3:$A$501,"=561",'Unos rashoda P4'!$S$3:$S$501,"=44")</f>
        <v>0</v>
      </c>
      <c r="N88" s="74">
        <f>SUMIFS('Unos rashoda i izdataka'!$K$3:$K$575,'Unos rashoda i izdataka'!$C$3:$C$575,"=563",'Unos rashoda i izdataka'!$P$3:$P$575,"=44")+SUMIFS('Unos rashoda P4'!$I$3:$I$501,'Unos rashoda P4'!$A$3:$A$501,"=563",'Unos rashoda P4'!$S$3:$S$501,"=44")</f>
        <v>0</v>
      </c>
      <c r="O88" s="74">
        <f>SUMIFS('Unos rashoda i izdataka'!$K$3:$K$575,'Unos rashoda i izdataka'!$C$3:$C$575,"=573",'Unos rashoda i izdataka'!$P$3:$P$575,"=44")+SUMIFS('Unos rashoda P4'!$I$3:$I$501,'Unos rashoda P4'!$A$3:$A$501,"=573",'Unos rashoda P4'!$S$3:$S$501,"=44")</f>
        <v>0</v>
      </c>
      <c r="P88" s="74">
        <f>SUMIFS('Unos rashoda i izdataka'!$K$3:$K$575,'Unos rashoda i izdataka'!$C$3:$C$575,"=575",'Unos rashoda i izdataka'!$P$3:$P$575,"=44")+SUMIFS('Unos rashoda P4'!$I$3:$I$501,'Unos rashoda P4'!$A$3:$A$501,"=575",'Unos rashoda P4'!$S$3:$S$501,"=44")</f>
        <v>0</v>
      </c>
      <c r="Q88" s="74">
        <f>SUMIFS('Unos rashoda i izdataka'!$K$3:$K$575,'Unos rashoda i izdataka'!$Q$3:$Q$575,"=576",'Unos rashoda i izdataka'!$P$3:$P$575,"=44")+SUMIFS('Unos rashoda P4'!$I$3:$I$501,'Unos rashoda P4'!$A$3:$A$501,"=576",'Unos rashoda P4'!$S$3:$S$501,"=44")</f>
        <v>0</v>
      </c>
      <c r="R88" s="74">
        <f>SUMIFS('Unos rashoda i izdataka'!$K$3:$K$575,'Unos rashoda i izdataka'!$C$3:$C$575,"=581",'Unos rashoda i izdataka'!$P$3:$P$575,"=44")+SUMIFS('Unos rashoda P4'!$I$3:$I$501,'Unos rashoda P4'!$A$3:$A$501,"=581",'Unos rashoda P4'!$S$3:$S$501,"=44")</f>
        <v>0</v>
      </c>
      <c r="S88" s="74">
        <f>SUMIFS('Unos rashoda i izdataka'!$K$3:$K$575,'Unos rashoda i izdataka'!$C$3:$C$575,"=61",'Unos rashoda i izdataka'!$P$3:$P$575,"=44")+SUMIFS('Unos rashoda P4'!$I$3:$I$501,'Unos rashoda P4'!$A$3:$A$501,"=61",'Unos rashoda P4'!$S$3:$S$501,"=44")</f>
        <v>0</v>
      </c>
      <c r="T88" s="74">
        <f>SUMIFS('Unos rashoda i izdataka'!$K$3:$K$575,'Unos rashoda i izdataka'!$C$3:$C$575,"=63",'Unos rashoda i izdataka'!$P$3:$P$575,"=44")+SUMIFS('Unos rashoda P4'!$I$3:$I$501,'Unos rashoda P4'!$A$3:$A$501,"=63",'Unos rashoda P4'!$S$3:$S$501,"=44")</f>
        <v>0</v>
      </c>
      <c r="U88" s="74">
        <f>SUMIFS('Unos rashoda i izdataka'!$K$3:$K$575,'Unos rashoda i izdataka'!$C$3:$C$575,"=71",'Unos rashoda i izdataka'!$P$3:$P$575,"=44")+SUMIFS('Unos rashoda P4'!$I$3:$I$501,'Unos rashoda P4'!$A$3:$A$501,"=71",'Unos rashoda P4'!$S$3:$S$501,"=44")</f>
        <v>0</v>
      </c>
      <c r="V88" s="74">
        <f>SUMIFS('Unos rashoda i izdataka'!$K$3:$K$575,'Unos rashoda i izdataka'!$C$3:$C$575,"=81",'Unos rashoda i izdataka'!$P$3:$P$575,"=44")+SUMIFS('Unos rashoda P4'!$I$3:$I$501,'Unos rashoda P4'!$A$3:$A$501,"=81",'Unos rashoda P4'!$S$3:$S$501,"=44")</f>
        <v>0</v>
      </c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</row>
    <row r="89" spans="1:262" s="13" customFormat="1" ht="12.6" customHeight="1">
      <c r="A89" s="334">
        <v>45</v>
      </c>
      <c r="B89" s="10" t="s">
        <v>204</v>
      </c>
      <c r="C89" s="71">
        <f t="shared" si="5"/>
        <v>0</v>
      </c>
      <c r="D89" s="74">
        <f>SUMIFS('Unos rashoda i izdataka'!$K$3:$K$575,'Unos rashoda i izdataka'!$C$3:$C$575,"=11",'Unos rashoda i izdataka'!$P$3:$P$575,"=45")+SUMIFS('Unos rashoda P4'!$I$3:$I$501,'Unos rashoda P4'!$A$3:$A$501,"=11",'Unos rashoda P4'!$S$3:$S$501,"=45")</f>
        <v>0</v>
      </c>
      <c r="E89" s="74">
        <f>SUMIFS('Unos rashoda i izdataka'!$K$3:$K$575,'Unos rashoda i izdataka'!$C$3:$C$575,"=12",'Unos rashoda i izdataka'!$P$3:$P$575,"=45")+SUMIFS('Unos rashoda P4'!$I$3:$I$501,'Unos rashoda P4'!$A$3:$A$501,"=12",'Unos rashoda P4'!$S$3:$S$501,"=45")</f>
        <v>0</v>
      </c>
      <c r="F89" s="74">
        <f>SUMIFS('Unos rashoda i izdataka'!$K$3:$K$575,'Unos rashoda i izdataka'!$C$3:$C$575,"=31",'Unos rashoda i izdataka'!$P$3:$P$575,"=45")+SUMIFS('Unos rashoda P4'!$I$3:$I$501,'Unos rashoda P4'!$A$3:$A$501,"=31",'Unos rashoda P4'!$S$3:$S$501,"=45")</f>
        <v>0</v>
      </c>
      <c r="G89" s="74">
        <f>SUMIFS('Unos rashoda i izdataka'!$K$3:$K$575,'Unos rashoda i izdataka'!$C$3:$C$575,"=41",'Unos rashoda i izdataka'!$P$3:$P$575,"=45")+SUMIFS('Unos rashoda P4'!$I$3:$I$501,'Unos rashoda P4'!$A$3:$A$501,"=41",'Unos rashoda P4'!$S$3:$S$501,"=45")</f>
        <v>0</v>
      </c>
      <c r="H89" s="74">
        <f>SUMIFS('Unos rashoda i izdataka'!$K$3:$K$575,'Unos rashoda i izdataka'!$C$3:$C$575,"=43",'Unos rashoda i izdataka'!$P$3:$P$575,"=45")+SUMIFS('Unos rashoda P4'!$I$3:$I$501,'Unos rashoda P4'!$A$3:$A$501,"=43",'Unos rashoda P4'!$S$3:$S$501,"=45")</f>
        <v>0</v>
      </c>
      <c r="I89" s="74">
        <f>SUMIFS('Unos rashoda i izdataka'!$K$3:$K$575,'Unos rashoda i izdataka'!$C$3:$C$575,"=51",'Unos rashoda i izdataka'!$P$3:$P$575,"=45")+SUMIFS('Unos rashoda P4'!$I$3:$I$501,'Unos rashoda P4'!$A$3:$A$501,"=51",'Unos rashoda P4'!$S$3:$S$501,"=45")</f>
        <v>0</v>
      </c>
      <c r="J89" s="74">
        <f>SUMIFS('Unos rashoda i izdataka'!$K$3:$K$575,'Unos rashoda i izdataka'!$C$3:$C$575,"=52",'Unos rashoda i izdataka'!$P$3:$P$575,"=45")+SUMIFS('Unos rashoda P4'!$I$3:$I$501,'Unos rashoda P4'!$A$3:$A$501,"=52",'Unos rashoda P4'!$S$3:$S$501,"=45")</f>
        <v>0</v>
      </c>
      <c r="K89" s="74">
        <f>SUMIFS('Unos rashoda i izdataka'!$K$3:$K$575,'Unos rashoda i izdataka'!$C$3:$C$575,"=552",'Unos rashoda i izdataka'!$P$3:$P$575,"=45")+SUMIFS('Unos rashoda P4'!$I$3:$I$501,'Unos rashoda P4'!$A$3:$A$501,"=552",'Unos rashoda P4'!$S$3:$S$501,"=45")</f>
        <v>0</v>
      </c>
      <c r="L89" s="74">
        <f>SUMIFS('Unos rashoda i izdataka'!$K$3:$K$575,'Unos rashoda i izdataka'!$C$3:$C$575,"=559",'Unos rashoda i izdataka'!$P$3:$P$575,"=45")+SUMIFS('Unos rashoda P4'!$I$3:$I$501,'Unos rashoda P4'!$A$3:$A$501,"=559",'Unos rashoda P4'!$S$3:$S$501,"=45")</f>
        <v>0</v>
      </c>
      <c r="M89" s="74">
        <f>SUMIFS('Unos rashoda i izdataka'!$K$3:$K$575,'Unos rashoda i izdataka'!$C$3:$C$575,"=561",'Unos rashoda i izdataka'!$P$3:$P$575,"=45")+SUMIFS('Unos rashoda P4'!$I$3:$I$501,'Unos rashoda P4'!$A$3:$A$501,"=561",'Unos rashoda P4'!$S$3:$S$501,"=45")</f>
        <v>0</v>
      </c>
      <c r="N89" s="74">
        <f>SUMIFS('Unos rashoda i izdataka'!$K$3:$K$575,'Unos rashoda i izdataka'!$C$3:$C$575,"=563",'Unos rashoda i izdataka'!$P$3:$P$575,"=45")+SUMIFS('Unos rashoda P4'!$I$3:$I$501,'Unos rashoda P4'!$A$3:$A$501,"=563",'Unos rashoda P4'!$S$3:$S$501,"=45")</f>
        <v>0</v>
      </c>
      <c r="O89" s="74">
        <f>SUMIFS('Unos rashoda i izdataka'!$K$3:$K$575,'Unos rashoda i izdataka'!$C$3:$C$575,"=573",'Unos rashoda i izdataka'!$P$3:$P$575,"=45")+SUMIFS('Unos rashoda P4'!$I$3:$I$501,'Unos rashoda P4'!$A$3:$A$501,"=573",'Unos rashoda P4'!$S$3:$S$501,"=45")</f>
        <v>0</v>
      </c>
      <c r="P89" s="74">
        <f>SUMIFS('Unos rashoda i izdataka'!$K$3:$K$575,'Unos rashoda i izdataka'!$C$3:$C$575,"=575",'Unos rashoda i izdataka'!$P$3:$P$575,"=45")+SUMIFS('Unos rashoda P4'!$I$3:$I$501,'Unos rashoda P4'!$A$3:$A$501,"=575",'Unos rashoda P4'!$S$3:$S$501,"=45")</f>
        <v>0</v>
      </c>
      <c r="Q89" s="74">
        <f>SUMIFS('Unos rashoda i izdataka'!$K$3:$K$575,'Unos rashoda i izdataka'!$Q$3:$Q$575,"=576",'Unos rashoda i izdataka'!$P$3:$P$575,"=45")+SUMIFS('Unos rashoda P4'!$I$3:$I$501,'Unos rashoda P4'!$A$3:$A$501,"=576",'Unos rashoda P4'!$S$3:$S$501,"=45")</f>
        <v>0</v>
      </c>
      <c r="R89" s="74">
        <f>SUMIFS('Unos rashoda i izdataka'!$K$3:$K$575,'Unos rashoda i izdataka'!$C$3:$C$575,"=581",'Unos rashoda i izdataka'!$P$3:$P$575,"=45")+SUMIFS('Unos rashoda P4'!$I$3:$I$501,'Unos rashoda P4'!$A$3:$A$501,"=581",'Unos rashoda P4'!$S$3:$S$501,"=45")</f>
        <v>0</v>
      </c>
      <c r="S89" s="74">
        <f>SUMIFS('Unos rashoda i izdataka'!$K$3:$K$575,'Unos rashoda i izdataka'!$C$3:$C$575,"=61",'Unos rashoda i izdataka'!$P$3:$P$575,"=45")+SUMIFS('Unos rashoda P4'!$I$3:$I$501,'Unos rashoda P4'!$A$3:$A$501,"=61",'Unos rashoda P4'!$S$3:$S$501,"=45")</f>
        <v>0</v>
      </c>
      <c r="T89" s="74">
        <f>SUMIFS('Unos rashoda i izdataka'!$K$3:$K$575,'Unos rashoda i izdataka'!$C$3:$C$575,"=63",'Unos rashoda i izdataka'!$P$3:$P$575,"=45")+SUMIFS('Unos rashoda P4'!$I$3:$I$501,'Unos rashoda P4'!$A$3:$A$501,"=63",'Unos rashoda P4'!$S$3:$S$501,"=45")</f>
        <v>0</v>
      </c>
      <c r="U89" s="74">
        <f>SUMIFS('Unos rashoda i izdataka'!$K$3:$K$575,'Unos rashoda i izdataka'!$C$3:$C$575,"=71",'Unos rashoda i izdataka'!$P$3:$P$575,"=45")+SUMIFS('Unos rashoda P4'!$I$3:$I$501,'Unos rashoda P4'!$A$3:$A$501,"=71",'Unos rashoda P4'!$S$3:$S$501,"=45")</f>
        <v>0</v>
      </c>
      <c r="V89" s="74">
        <f>SUMIFS('Unos rashoda i izdataka'!$K$3:$K$575,'Unos rashoda i izdataka'!$C$3:$C$575,"=81",'Unos rashoda i izdataka'!$P$3:$P$575,"=45")+SUMIFS('Unos rashoda P4'!$I$3:$I$501,'Unos rashoda P4'!$A$3:$A$501,"=81",'Unos rashoda P4'!$S$3:$S$501,"=45")</f>
        <v>0</v>
      </c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  <c r="IV89" s="36"/>
      <c r="IW89" s="36"/>
      <c r="IX89" s="36"/>
      <c r="IY89" s="36"/>
      <c r="IZ89" s="36"/>
      <c r="JA89" s="36"/>
      <c r="JB89" s="36"/>
    </row>
    <row r="90" spans="1:262" s="28" customFormat="1">
      <c r="A90" s="336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30" customFormat="1" ht="71.45" customHeight="1">
      <c r="A91" s="183" t="s">
        <v>195</v>
      </c>
      <c r="B91" s="41" t="s">
        <v>196</v>
      </c>
      <c r="C91" s="2" t="s">
        <v>3022</v>
      </c>
      <c r="D91" s="2" t="s">
        <v>37</v>
      </c>
      <c r="E91" s="2" t="s">
        <v>251</v>
      </c>
      <c r="F91" s="41" t="s">
        <v>16</v>
      </c>
      <c r="G91" s="41" t="s">
        <v>5114</v>
      </c>
      <c r="H91" s="41" t="s">
        <v>17</v>
      </c>
      <c r="I91" s="41" t="s">
        <v>240</v>
      </c>
      <c r="J91" s="41" t="s">
        <v>241</v>
      </c>
      <c r="K91" s="41" t="s">
        <v>1230</v>
      </c>
      <c r="L91" s="41" t="s">
        <v>242</v>
      </c>
      <c r="M91" s="41" t="s">
        <v>243</v>
      </c>
      <c r="N91" s="41" t="s">
        <v>244</v>
      </c>
      <c r="O91" s="41" t="s">
        <v>1231</v>
      </c>
      <c r="P91" s="41" t="s">
        <v>5120</v>
      </c>
      <c r="Q91" s="41" t="s">
        <v>5121</v>
      </c>
      <c r="R91" s="41" t="s">
        <v>3017</v>
      </c>
      <c r="S91" s="41" t="s">
        <v>245</v>
      </c>
      <c r="T91" s="41" t="s">
        <v>246</v>
      </c>
      <c r="U91" s="41" t="s">
        <v>1206</v>
      </c>
      <c r="V91" s="41" t="s">
        <v>1205</v>
      </c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15" customFormat="1" ht="19.5" customHeight="1">
      <c r="A92" s="338">
        <v>2023</v>
      </c>
      <c r="B92" s="337" t="s">
        <v>5267</v>
      </c>
      <c r="C92" s="60">
        <f t="shared" ref="C92:C157" si="26">SUM(D92:V92)</f>
        <v>3069973.4</v>
      </c>
      <c r="D92" s="61">
        <f t="shared" ref="D92:V92" si="27">D93+D142</f>
        <v>618986.55999999994</v>
      </c>
      <c r="E92" s="61">
        <f t="shared" si="27"/>
        <v>0</v>
      </c>
      <c r="F92" s="61">
        <f t="shared" si="27"/>
        <v>10877.34</v>
      </c>
      <c r="G92" s="61">
        <f t="shared" si="27"/>
        <v>0</v>
      </c>
      <c r="H92" s="61">
        <f t="shared" si="27"/>
        <v>91756.639999999927</v>
      </c>
      <c r="I92" s="61">
        <f t="shared" si="27"/>
        <v>27195.25</v>
      </c>
      <c r="J92" s="61">
        <f t="shared" si="27"/>
        <v>116552.78</v>
      </c>
      <c r="K92" s="61">
        <f t="shared" si="27"/>
        <v>0</v>
      </c>
      <c r="L92" s="61">
        <f t="shared" si="27"/>
        <v>0</v>
      </c>
      <c r="M92" s="61">
        <f t="shared" si="27"/>
        <v>0</v>
      </c>
      <c r="N92" s="61">
        <f t="shared" si="27"/>
        <v>2120887.6</v>
      </c>
      <c r="O92" s="61">
        <f t="shared" si="27"/>
        <v>0</v>
      </c>
      <c r="P92" s="61">
        <f t="shared" si="27"/>
        <v>0</v>
      </c>
      <c r="Q92" s="61">
        <f t="shared" si="27"/>
        <v>0</v>
      </c>
      <c r="R92" s="61">
        <f t="shared" si="27"/>
        <v>0</v>
      </c>
      <c r="S92" s="61">
        <f t="shared" si="27"/>
        <v>83717.23000000001</v>
      </c>
      <c r="T92" s="61">
        <f t="shared" si="27"/>
        <v>0</v>
      </c>
      <c r="U92" s="61">
        <f t="shared" si="27"/>
        <v>0</v>
      </c>
      <c r="V92" s="61">
        <f t="shared" si="27"/>
        <v>0</v>
      </c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2"/>
      <c r="AN92" s="32"/>
      <c r="AO92" s="32"/>
      <c r="AP92" s="32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</row>
    <row r="93" spans="1:262" s="7" customFormat="1" ht="12.6" customHeight="1">
      <c r="A93" s="335">
        <v>3</v>
      </c>
      <c r="B93" s="63" t="s">
        <v>197</v>
      </c>
      <c r="C93" s="64">
        <f t="shared" si="26"/>
        <v>946353.24999999977</v>
      </c>
      <c r="D93" s="68">
        <f t="shared" ref="D93:V93" si="28">+D94+D101+D131+D134+D135+D136+D139</f>
        <v>618986.55999999994</v>
      </c>
      <c r="E93" s="68">
        <f t="shared" si="28"/>
        <v>0</v>
      </c>
      <c r="F93" s="68">
        <f t="shared" si="28"/>
        <v>10299.379999999999</v>
      </c>
      <c r="G93" s="68">
        <f t="shared" si="28"/>
        <v>0</v>
      </c>
      <c r="H93" s="68">
        <f t="shared" si="28"/>
        <v>90675.139999999927</v>
      </c>
      <c r="I93" s="68">
        <f t="shared" si="28"/>
        <v>27195.25</v>
      </c>
      <c r="J93" s="68">
        <f t="shared" si="28"/>
        <v>115479.69</v>
      </c>
      <c r="K93" s="68">
        <f t="shared" si="28"/>
        <v>0</v>
      </c>
      <c r="L93" s="68">
        <f t="shared" si="28"/>
        <v>0</v>
      </c>
      <c r="M93" s="68">
        <f t="shared" si="28"/>
        <v>0</v>
      </c>
      <c r="N93" s="68">
        <f t="shared" si="28"/>
        <v>0</v>
      </c>
      <c r="O93" s="68">
        <f t="shared" si="28"/>
        <v>0</v>
      </c>
      <c r="P93" s="68">
        <f t="shared" si="28"/>
        <v>0</v>
      </c>
      <c r="Q93" s="68">
        <f t="shared" si="28"/>
        <v>0</v>
      </c>
      <c r="R93" s="68">
        <f t="shared" si="28"/>
        <v>0</v>
      </c>
      <c r="S93" s="68">
        <f t="shared" si="28"/>
        <v>83717.23000000001</v>
      </c>
      <c r="T93" s="68">
        <f t="shared" si="28"/>
        <v>0</v>
      </c>
      <c r="U93" s="68">
        <f t="shared" si="28"/>
        <v>0</v>
      </c>
      <c r="V93" s="68">
        <f t="shared" si="28"/>
        <v>0</v>
      </c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9" customFormat="1" ht="12.6" customHeight="1">
      <c r="A94" s="333">
        <v>31</v>
      </c>
      <c r="B94" s="8" t="s">
        <v>198</v>
      </c>
      <c r="C94" s="70">
        <f t="shared" si="26"/>
        <v>641604.67999999993</v>
      </c>
      <c r="D94" s="74">
        <f>SUMIFS('Unos rashoda i izdataka'!$L$3:$L$575,'Unos rashoda i izdataka'!$C$3:$C$575,"=11",'Unos rashoda i izdataka'!$P$3:$P$575,"=31")+SUMIFS('Unos rashoda P4'!$J$3:$J$501,'Unos rashoda P4'!$A$3:$A$501,"=11",'Unos rashoda P4'!$S$3:$S$501,"=31")</f>
        <v>604619.99</v>
      </c>
      <c r="E94" s="74">
        <f>SUMIFS('Unos rashoda i izdataka'!$L$3:$L$575,'Unos rashoda i izdataka'!$C$3:$C$575,"=12",'Unos rashoda i izdataka'!$P$3:$P$575,"=31")+SUMIFS('Unos rashoda P4'!$J$3:$J$501,'Unos rashoda P4'!$A$3:$A$501,"=12",'Unos rashoda P4'!$S$3:$S$501,"=31")</f>
        <v>0</v>
      </c>
      <c r="F94" s="74">
        <f>SUMIFS('Unos rashoda i izdataka'!$L$3:$L$575,'Unos rashoda i izdataka'!$C$3:$C$575,"=31",'Unos rashoda i izdataka'!$P$3:$P$575,"=31")+SUMIFS('Unos rashoda P4'!$J$3:$J$501,'Unos rashoda P4'!$A$3:$A$501,"=31",'Unos rashoda P4'!$S$3:$S$501,"=31")</f>
        <v>0</v>
      </c>
      <c r="G94" s="74">
        <f>SUMIFS('Unos rashoda i izdataka'!$L$3:$L$575,'Unos rashoda i izdataka'!$C$3:$C$575,"=41",'Unos rashoda i izdataka'!$P$3:$P$575,"=31")+SUMIFS('Unos rashoda P4'!$J$3:$J$501,'Unos rashoda P4'!$A$3:$A$501,"=41",'Unos rashoda P4'!$S$3:$S$501,"=31")</f>
        <v>0</v>
      </c>
      <c r="H94" s="74">
        <f>SUMIFS('Unos rashoda i izdataka'!$L$3:$L$575,'Unos rashoda i izdataka'!$C$3:$C$575,"=43",'Unos rashoda i izdataka'!$P$3:$P$575,"=31")+SUMIFS('Unos rashoda P4'!$J$3:$J$501,'Unos rashoda P4'!$A$3:$A$501,"=43",'Unos rashoda P4'!$S$3:$S$501,"=31")</f>
        <v>9696.5199999999186</v>
      </c>
      <c r="I94" s="74">
        <f>SUMIFS('Unos rashoda i izdataka'!$L$3:$L$575,'Unos rashoda i izdataka'!$C$3:$C$575,"=51",'Unos rashoda i izdataka'!$P$3:$P$575,"=31")+SUMIFS('Unos rashoda P4'!$J$3:$J$501,'Unos rashoda P4'!$A$3:$A$501,"=51",'Unos rashoda P4'!$S$3:$S$501,"=31")</f>
        <v>0</v>
      </c>
      <c r="J94" s="74">
        <f>SUMIFS('Unos rashoda i izdataka'!$L$3:$L$575,'Unos rashoda i izdataka'!$C$3:$C$575,"=52",'Unos rashoda i izdataka'!$P$3:$P$575,"=31")+SUMIFS('Unos rashoda P4'!$J$3:$J$501,'Unos rashoda P4'!$A$3:$A$501,"=52",'Unos rashoda P4'!$S$3:$S$501,"=31")</f>
        <v>24835.55</v>
      </c>
      <c r="K94" s="74">
        <f>SUMIFS('Unos rashoda i izdataka'!$L$3:$L$575,'Unos rashoda i izdataka'!$C$3:$C$575,"=552",'Unos rashoda i izdataka'!$P$3:$P$575,"=31")+SUMIFS('Unos rashoda P4'!$J$3:$J$501,'Unos rashoda P4'!$A$3:$A$501,"=552",'Unos rashoda P4'!$S$3:$S$501,"=31")</f>
        <v>0</v>
      </c>
      <c r="L94" s="74">
        <f>SUMIFS('Unos rashoda i izdataka'!$L$3:$L$575,'Unos rashoda i izdataka'!$C$3:$C$575,"=559",'Unos rashoda i izdataka'!$P$3:$P$575,"=31")+SUMIFS('Unos rashoda P4'!$J$3:$J$501,'Unos rashoda P4'!$A$3:$A$501,"=559",'Unos rashoda P4'!$S$3:$S$501,"=31")</f>
        <v>0</v>
      </c>
      <c r="M94" s="74">
        <f>SUMIFS('Unos rashoda i izdataka'!$L$3:$L$575,'Unos rashoda i izdataka'!$C$3:$C$575,"=561",'Unos rashoda i izdataka'!$P$3:$P$575,"=31")+SUMIFS('Unos rashoda P4'!$J$3:$J$501,'Unos rashoda P4'!$A$3:$A$501,"=561",'Unos rashoda P4'!$S$3:$S$501,"=31")</f>
        <v>0</v>
      </c>
      <c r="N94" s="74">
        <f>SUMIFS('Unos rashoda i izdataka'!$L$3:$L$575,'Unos rashoda i izdataka'!$C$3:$C$575,"=563",'Unos rashoda i izdataka'!$P$3:$P$575,"=31")+SUMIFS('Unos rashoda P4'!$J$3:$J$501,'Unos rashoda P4'!$A$3:$A$501,"=563",'Unos rashoda P4'!$S$3:$S$501,"=31")</f>
        <v>0</v>
      </c>
      <c r="O94" s="74">
        <f>SUMIFS('Unos rashoda i izdataka'!$L$3:$L$575,'Unos rashoda i izdataka'!$C$3:$C$575,"=573",'Unos rashoda i izdataka'!$P$3:$P$575,"=31")+SUMIFS('Unos rashoda P4'!$J$3:$J$501,'Unos rashoda P4'!$A$3:$A$501,"=573",'Unos rashoda P4'!$S$3:$S$501,"=31")</f>
        <v>0</v>
      </c>
      <c r="P94" s="74">
        <f>SUMIFS('Unos rashoda i izdataka'!$L$3:$L$575,'Unos rashoda i izdataka'!$C$3:$C$575,"=575",'Unos rashoda i izdataka'!$P$3:$P$575,"=31")+SUMIFS('Unos rashoda P4'!$J$3:$J$501,'Unos rashoda P4'!$A$3:$A$501,"=575",'Unos rashoda P4'!$S$3:$S$501,"=31")</f>
        <v>0</v>
      </c>
      <c r="Q94" s="74">
        <f>SUMIFS('Unos rashoda i izdataka'!$L$3:$L$575,'Unos rashoda i izdataka'!$Q$3:$Q$575,"=576",'Unos rashoda i izdataka'!$P$3:$P$575,"=31")+SUMIFS('Unos rashoda P4'!$J$3:$J$501,'Unos rashoda P4'!$A$3:$A$501,"=576",'Unos rashoda P4'!$S$3:$S$501,"=31")</f>
        <v>0</v>
      </c>
      <c r="R94" s="74">
        <f>SUMIFS('Unos rashoda i izdataka'!$L$3:$L$575,'Unos rashoda i izdataka'!$C$3:$C$575,"=581",'Unos rashoda i izdataka'!$P$3:$P$575,"=31")+SUMIFS('Unos rashoda P4'!$J$3:$J$501,'Unos rashoda P4'!$A$3:$A$501,"=581",'Unos rashoda P4'!$S$3:$S$501,"=31")</f>
        <v>0</v>
      </c>
      <c r="S94" s="74">
        <f>SUMIFS('Unos rashoda i izdataka'!$L$3:$L$575,'Unos rashoda i izdataka'!$C$3:$C$575,"=61",'Unos rashoda i izdataka'!$P$3:$P$575,"=31")+SUMIFS('Unos rashoda P4'!$J$3:$J$501,'Unos rashoda P4'!$A$3:$A$501,"=61",'Unos rashoda P4'!$S$3:$S$501,"=31")</f>
        <v>2452.62</v>
      </c>
      <c r="T94" s="74">
        <f>SUMIFS('Unos rashoda i izdataka'!$L$3:$L$575,'Unos rashoda i izdataka'!$C$3:$C$575,"=63",'Unos rashoda i izdataka'!$P$3:$P$575,"=31")+SUMIFS('Unos rashoda P4'!$J$3:$J$501,'Unos rashoda P4'!$A$3:$A$501,"=63",'Unos rashoda P4'!$S$3:$S$501,"=31")</f>
        <v>0</v>
      </c>
      <c r="U94" s="74">
        <f>SUMIFS('Unos rashoda i izdataka'!$L$3:$L$575,'Unos rashoda i izdataka'!$C$3:$C$575,"=71",'Unos rashoda i izdataka'!$P$3:$P$575,"=31")+SUMIFS('Unos rashoda P4'!$J$3:$J$501,'Unos rashoda P4'!$A$3:$A$501,"=71",'Unos rashoda P4'!$S$3:$S$501,"=31")</f>
        <v>0</v>
      </c>
      <c r="V94" s="74">
        <f>SUMIFS('Unos rashoda i izdataka'!$L$3:$L$575,'Unos rashoda i izdataka'!$C$3:$C$575,"=81",'Unos rashoda i izdataka'!$P$3:$P$575,"=31")+SUMIFS('Unos rashoda P4'!$J$3:$J$501,'Unos rashoda P4'!$A$3:$A$501,"=81",'Unos rashoda P4'!$S$3:$S$501,"=31")</f>
        <v>0</v>
      </c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  <c r="IX94" s="36"/>
      <c r="IY94" s="36"/>
      <c r="IZ94" s="36"/>
      <c r="JA94" s="36"/>
      <c r="JB94" s="36"/>
    </row>
    <row r="95" spans="1:262" s="9" customFormat="1" ht="12.6" customHeight="1">
      <c r="A95" s="333">
        <v>311</v>
      </c>
      <c r="B95" s="8" t="s">
        <v>5270</v>
      </c>
      <c r="C95" s="70">
        <f>SUM(C96)</f>
        <v>522033.03999999992</v>
      </c>
      <c r="D95" s="74">
        <f>SUM(D96)</f>
        <v>498068.87</v>
      </c>
      <c r="E95" s="74"/>
      <c r="F95" s="74"/>
      <c r="G95" s="74"/>
      <c r="H95" s="74">
        <f>SUM(H96)</f>
        <v>4627.6899999999187</v>
      </c>
      <c r="I95" s="74"/>
      <c r="J95" s="74">
        <f>SUM(J96)</f>
        <v>17309.55</v>
      </c>
      <c r="K95" s="74"/>
      <c r="L95" s="74"/>
      <c r="M95" s="74"/>
      <c r="N95" s="74"/>
      <c r="O95" s="74"/>
      <c r="P95" s="74"/>
      <c r="Q95" s="74"/>
      <c r="R95" s="74"/>
      <c r="S95" s="74">
        <f>SUM(S96)</f>
        <v>2026.93</v>
      </c>
      <c r="T95" s="74"/>
      <c r="U95" s="74"/>
      <c r="V95" s="74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X95" s="36"/>
      <c r="IY95" s="36"/>
      <c r="IZ95" s="36"/>
      <c r="JA95" s="36"/>
      <c r="JB95" s="36"/>
    </row>
    <row r="96" spans="1:262" s="9" customFormat="1" ht="12.6" customHeight="1">
      <c r="A96" s="333">
        <v>3111</v>
      </c>
      <c r="B96" s="8" t="s">
        <v>47</v>
      </c>
      <c r="C96" s="70">
        <f t="shared" ref="C96:C100" si="29">SUM(D96:V96)</f>
        <v>522033.03999999992</v>
      </c>
      <c r="D96" s="74">
        <v>498068.87</v>
      </c>
      <c r="E96" s="74"/>
      <c r="F96" s="74"/>
      <c r="G96" s="74"/>
      <c r="H96" s="74">
        <v>4627.6899999999187</v>
      </c>
      <c r="I96" s="74"/>
      <c r="J96" s="74">
        <v>17309.55</v>
      </c>
      <c r="K96" s="74"/>
      <c r="L96" s="74"/>
      <c r="M96" s="74"/>
      <c r="N96" s="74"/>
      <c r="O96" s="74"/>
      <c r="P96" s="74"/>
      <c r="Q96" s="74"/>
      <c r="R96" s="74"/>
      <c r="S96" s="74">
        <v>2026.93</v>
      </c>
      <c r="T96" s="74"/>
      <c r="U96" s="74"/>
      <c r="V96" s="74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  <c r="IX96" s="36"/>
      <c r="IY96" s="36"/>
      <c r="IZ96" s="36"/>
      <c r="JA96" s="36"/>
      <c r="JB96" s="36"/>
    </row>
    <row r="97" spans="1:262" s="9" customFormat="1" ht="12.6" customHeight="1">
      <c r="A97" s="333">
        <v>312</v>
      </c>
      <c r="B97" s="8" t="s">
        <v>50</v>
      </c>
      <c r="C97" s="70">
        <f t="shared" si="29"/>
        <v>32184.35</v>
      </c>
      <c r="D97" s="74">
        <f>SUM(D98)</f>
        <v>22795.41</v>
      </c>
      <c r="E97" s="74"/>
      <c r="F97" s="74">
        <f>SUM(F98)</f>
        <v>4080.08</v>
      </c>
      <c r="G97" s="74"/>
      <c r="H97" s="74">
        <f>SUM(H98)</f>
        <v>5308.86</v>
      </c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  <c r="IV97" s="36"/>
      <c r="IW97" s="36"/>
      <c r="IX97" s="36"/>
      <c r="IY97" s="36"/>
      <c r="IZ97" s="36"/>
      <c r="JA97" s="36"/>
      <c r="JB97" s="36"/>
    </row>
    <row r="98" spans="1:262" s="9" customFormat="1" ht="12.6" customHeight="1">
      <c r="A98" s="333">
        <v>3121</v>
      </c>
      <c r="B98" s="8" t="s">
        <v>50</v>
      </c>
      <c r="C98" s="70">
        <f t="shared" si="29"/>
        <v>32184.35</v>
      </c>
      <c r="D98" s="74">
        <v>22795.41</v>
      </c>
      <c r="E98" s="74"/>
      <c r="F98" s="74">
        <v>4080.08</v>
      </c>
      <c r="G98" s="74"/>
      <c r="H98" s="74">
        <v>5308.86</v>
      </c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  <c r="IV98" s="36"/>
      <c r="IW98" s="36"/>
      <c r="IX98" s="36"/>
      <c r="IY98" s="36"/>
      <c r="IZ98" s="36"/>
      <c r="JA98" s="36"/>
      <c r="JB98" s="36"/>
    </row>
    <row r="99" spans="1:262" s="9" customFormat="1" ht="12.6" customHeight="1">
      <c r="A99" s="333">
        <v>313</v>
      </c>
      <c r="B99" s="8" t="s">
        <v>5271</v>
      </c>
      <c r="C99" s="70">
        <f t="shared" si="29"/>
        <v>87387.29</v>
      </c>
      <c r="D99" s="74">
        <f>SUM(D100)</f>
        <v>83755.709999999992</v>
      </c>
      <c r="E99" s="74"/>
      <c r="F99" s="74"/>
      <c r="G99" s="74"/>
      <c r="H99" s="74">
        <f>SUM(H100)</f>
        <v>988.75</v>
      </c>
      <c r="I99" s="74"/>
      <c r="J99" s="74">
        <f>SUM(J100)</f>
        <v>2217.1400000000003</v>
      </c>
      <c r="K99" s="74"/>
      <c r="L99" s="74"/>
      <c r="M99" s="74"/>
      <c r="N99" s="74"/>
      <c r="O99" s="74"/>
      <c r="P99" s="74"/>
      <c r="Q99" s="74"/>
      <c r="R99" s="74"/>
      <c r="S99" s="74">
        <f>SUM(S100)</f>
        <v>425.69</v>
      </c>
      <c r="T99" s="74"/>
      <c r="U99" s="74"/>
      <c r="V99" s="74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</row>
    <row r="100" spans="1:262" s="9" customFormat="1" ht="12.6" customHeight="1">
      <c r="A100" s="333">
        <v>3132</v>
      </c>
      <c r="B100" s="8" t="s">
        <v>51</v>
      </c>
      <c r="C100" s="70">
        <f t="shared" si="29"/>
        <v>87387.29</v>
      </c>
      <c r="D100" s="74">
        <v>83755.709999999992</v>
      </c>
      <c r="E100" s="74"/>
      <c r="F100" s="74"/>
      <c r="G100" s="74"/>
      <c r="H100" s="74">
        <v>988.75</v>
      </c>
      <c r="I100" s="74"/>
      <c r="J100" s="74">
        <v>2217.1400000000003</v>
      </c>
      <c r="K100" s="74"/>
      <c r="L100" s="74"/>
      <c r="M100" s="74"/>
      <c r="N100" s="74"/>
      <c r="O100" s="74"/>
      <c r="P100" s="74"/>
      <c r="Q100" s="74"/>
      <c r="R100" s="74"/>
      <c r="S100" s="74">
        <v>425.69</v>
      </c>
      <c r="T100" s="74"/>
      <c r="U100" s="74"/>
      <c r="V100" s="74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</row>
    <row r="101" spans="1:262" s="35" customFormat="1" ht="12.6" customHeight="1">
      <c r="A101" s="334">
        <v>32</v>
      </c>
      <c r="B101" s="10" t="s">
        <v>199</v>
      </c>
      <c r="C101" s="71">
        <f t="shared" si="26"/>
        <v>297222.36</v>
      </c>
      <c r="D101" s="74">
        <f>SUMIFS('Unos rashoda i izdataka'!$L$3:$L$575,'Unos rashoda i izdataka'!$C$3:$C$575,"=11",'Unos rashoda i izdataka'!$P$3:$P$575,"=32")+SUMIFS('Unos rashoda P4'!$J$3:$J$501,'Unos rashoda P4'!$A$3:$A$501,"=11",'Unos rashoda P4'!$S$3:$S$501,"=32")</f>
        <v>14366.57</v>
      </c>
      <c r="E101" s="74">
        <f>SUMIFS('Unos rashoda i izdataka'!$L$3:$L$575,'Unos rashoda i izdataka'!$C$3:$C$575,"=12",'Unos rashoda i izdataka'!$P$3:$P$575,"=32")+SUMIFS('Unos rashoda P4'!$J$3:$J$501,'Unos rashoda P4'!$A$3:$A$501,"=12",'Unos rashoda P4'!$S$3:$S$501,"=32")</f>
        <v>0</v>
      </c>
      <c r="F101" s="74">
        <f>SUMIFS('Unos rashoda i izdataka'!$L$3:$L$575,'Unos rashoda i izdataka'!$C$3:$C$575,"=31",'Unos rashoda i izdataka'!$P$3:$P$575,"=32")+SUMIFS('Unos rashoda P4'!$J$3:$J$501,'Unos rashoda P4'!$A$3:$A$501,"=31",'Unos rashoda P4'!$S$3:$S$501,"=32")</f>
        <v>9894.75</v>
      </c>
      <c r="G101" s="74">
        <f>SUMIFS('Unos rashoda i izdataka'!$L$3:$L$575,'Unos rashoda i izdataka'!$C$3:$C$575,"=41",'Unos rashoda i izdataka'!$P$3:$P$575,"=32")+SUMIFS('Unos rashoda P4'!$J$3:$J$501,'Unos rashoda P4'!$A$3:$A$501,"=41",'Unos rashoda P4'!$S$3:$S$501,"=32")</f>
        <v>0</v>
      </c>
      <c r="H101" s="74">
        <f>SUMIFS('Unos rashoda i izdataka'!$L$3:$L$575,'Unos rashoda i izdataka'!$C$3:$C$575,"=43",'Unos rashoda i izdataka'!$P$3:$P$575,"=32")+SUMIFS('Unos rashoda P4'!$J$3:$J$501,'Unos rashoda P4'!$A$3:$A$501,"=43",'Unos rashoda P4'!$S$3:$S$501,"=32")</f>
        <v>74375.290000000008</v>
      </c>
      <c r="I101" s="74">
        <f>SUMIFS('Unos rashoda i izdataka'!$L$3:$L$575,'Unos rashoda i izdataka'!$C$3:$C$575,"=51",'Unos rashoda i izdataka'!$P$3:$P$575,"=32")+SUMIFS('Unos rashoda P4'!$J$3:$J$501,'Unos rashoda P4'!$A$3:$A$501,"=51",'Unos rashoda P4'!$S$3:$S$501,"=32")</f>
        <v>27195.25</v>
      </c>
      <c r="J101" s="74">
        <f>SUMIFS('Unos rashoda i izdataka'!$L$3:$L$575,'Unos rashoda i izdataka'!$C$3:$C$575,"=52",'Unos rashoda i izdataka'!$P$3:$P$575,"=32")+SUMIFS('Unos rashoda P4'!$J$3:$J$501,'Unos rashoda P4'!$A$3:$A$501,"=52",'Unos rashoda P4'!$S$3:$S$501,"=32")</f>
        <v>90125.89</v>
      </c>
      <c r="K101" s="74">
        <f>SUMIFS('Unos rashoda i izdataka'!$L$3:$L$575,'Unos rashoda i izdataka'!$C$3:$C$575,"=552",'Unos rashoda i izdataka'!$P$3:$P$575,"=32")+SUMIFS('Unos rashoda P4'!$J$3:$J$501,'Unos rashoda P4'!$A$3:$A$501,"=552",'Unos rashoda P4'!$S$3:$S$501,"=32")</f>
        <v>0</v>
      </c>
      <c r="L101" s="74">
        <f>SUMIFS('Unos rashoda i izdataka'!$L$3:$L$575,'Unos rashoda i izdataka'!$C$3:$C$575,"=559",'Unos rashoda i izdataka'!$P$3:$P$575,"=32")+SUMIFS('Unos rashoda P4'!$J$3:$J$501,'Unos rashoda P4'!$A$3:$A$501,"=559",'Unos rashoda P4'!$S$3:$S$501,"=32")</f>
        <v>0</v>
      </c>
      <c r="M101" s="74">
        <f>SUMIFS('Unos rashoda i izdataka'!$L$3:$L$575,'Unos rashoda i izdataka'!$C$3:$C$575,"=561",'Unos rashoda i izdataka'!$P$3:$P$575,"=32")+SUMIFS('Unos rashoda P4'!$J$3:$J$501,'Unos rashoda P4'!$A$3:$A$501,"=561",'Unos rashoda P4'!$S$3:$S$501,"=32")</f>
        <v>0</v>
      </c>
      <c r="N101" s="74">
        <f>SUMIFS('Unos rashoda i izdataka'!$L$3:$L$575,'Unos rashoda i izdataka'!$C$3:$C$575,"=563",'Unos rashoda i izdataka'!$P$3:$P$575,"=32")+SUMIFS('Unos rashoda P4'!$J$3:$J$501,'Unos rashoda P4'!$A$3:$A$501,"=563",'Unos rashoda P4'!$S$3:$S$501,"=32")</f>
        <v>0</v>
      </c>
      <c r="O101" s="74">
        <f>SUMIFS('Unos rashoda i izdataka'!$L$3:$L$575,'Unos rashoda i izdataka'!$C$3:$C$575,"=573",'Unos rashoda i izdataka'!$P$3:$P$575,"=32")+SUMIFS('Unos rashoda P4'!$J$3:$J$501,'Unos rashoda P4'!$A$3:$A$501,"=573",'Unos rashoda P4'!$S$3:$S$501,"=32")</f>
        <v>0</v>
      </c>
      <c r="P101" s="74">
        <f>SUMIFS('Unos rashoda i izdataka'!$L$3:$L$575,'Unos rashoda i izdataka'!$C$3:$C$575,"=575",'Unos rashoda i izdataka'!$P$3:$P$575,"=32")+SUMIFS('Unos rashoda P4'!$J$3:$J$501,'Unos rashoda P4'!$A$3:$A$501,"=575",'Unos rashoda P4'!$S$3:$S$501,"=32")</f>
        <v>0</v>
      </c>
      <c r="Q101" s="74">
        <f>SUMIFS('Unos rashoda i izdataka'!$L$3:$L$575,'Unos rashoda i izdataka'!$Q$3:$Q$575,"=576",'Unos rashoda i izdataka'!$P$3:$P$575,"=32")+SUMIFS('Unos rashoda P4'!$J$3:$J$501,'Unos rashoda P4'!$A$3:$A$501,"=576",'Unos rashoda P4'!$S$3:$S$501,"=32")</f>
        <v>0</v>
      </c>
      <c r="R101" s="74">
        <f>SUMIFS('Unos rashoda i izdataka'!$L$3:$L$575,'Unos rashoda i izdataka'!$C$3:$C$575,"=581",'Unos rashoda i izdataka'!$P$3:$P$575,"=32")+SUMIFS('Unos rashoda P4'!$J$3:$J$501,'Unos rashoda P4'!$A$3:$A$501,"=581",'Unos rashoda P4'!$S$3:$S$501,"=32")</f>
        <v>0</v>
      </c>
      <c r="S101" s="74">
        <f>SUMIFS('Unos rashoda i izdataka'!$L$3:$L$575,'Unos rashoda i izdataka'!$C$3:$C$575,"=61",'Unos rashoda i izdataka'!$P$3:$P$575,"=32")+SUMIFS('Unos rashoda P4'!$J$3:$J$501,'Unos rashoda P4'!$A$3:$A$501,"=61",'Unos rashoda P4'!$S$3:$S$501,"=32")</f>
        <v>81264.610000000015</v>
      </c>
      <c r="T101" s="74">
        <f>SUMIFS('Unos rashoda i izdataka'!$L$3:$L$575,'Unos rashoda i izdataka'!$C$3:$C$575,"=63",'Unos rashoda i izdataka'!$P$3:$P$575,"=32")+SUMIFS('Unos rashoda P4'!$J$3:$J$501,'Unos rashoda P4'!$A$3:$A$501,"=63",'Unos rashoda P4'!$S$3:$S$501,"=32")</f>
        <v>0</v>
      </c>
      <c r="U101" s="74">
        <f>SUMIFS('Unos rashoda i izdataka'!$L$3:$L$575,'Unos rashoda i izdataka'!$C$3:$C$575,"=71",'Unos rashoda i izdataka'!$P$3:$P$575,"=32")+SUMIFS('Unos rashoda P4'!$J$3:$J$501,'Unos rashoda P4'!$A$3:$A$501,"=71",'Unos rashoda P4'!$S$3:$S$501,"=32")</f>
        <v>0</v>
      </c>
      <c r="V101" s="74">
        <f>SUMIFS('Unos rashoda i izdataka'!$L$3:$L$575,'Unos rashoda i izdataka'!$C$3:$C$575,"=81",'Unos rashoda i izdataka'!$P$3:$P$575,"=32")+SUMIFS('Unos rashoda P4'!$J$3:$J$501,'Unos rashoda P4'!$A$3:$A$501,"=81",'Unos rashoda P4'!$S$3:$S$501,"=32")</f>
        <v>0</v>
      </c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</row>
    <row r="102" spans="1:262" s="35" customFormat="1" ht="12.6" customHeight="1">
      <c r="A102" s="334">
        <v>321</v>
      </c>
      <c r="B102" s="10" t="s">
        <v>5272</v>
      </c>
      <c r="C102" s="71">
        <f>SUM(C103:C106)</f>
        <v>67277.990000000005</v>
      </c>
      <c r="D102" s="74">
        <f>SUM(D103:D106)</f>
        <v>14366.57</v>
      </c>
      <c r="E102" s="74"/>
      <c r="F102" s="74"/>
      <c r="G102" s="74"/>
      <c r="H102" s="74">
        <f>SUM(H103:H106)</f>
        <v>3610.6999999999975</v>
      </c>
      <c r="I102" s="74">
        <f>SUM(I103:I106)</f>
        <v>237.67</v>
      </c>
      <c r="J102" s="74">
        <f>SUM(J103:J106)</f>
        <v>45006.95</v>
      </c>
      <c r="K102" s="74"/>
      <c r="L102" s="74"/>
      <c r="M102" s="74"/>
      <c r="N102" s="74"/>
      <c r="O102" s="74"/>
      <c r="P102" s="74"/>
      <c r="Q102" s="74"/>
      <c r="R102" s="74"/>
      <c r="S102" s="74">
        <f>SUM(S103:S106)</f>
        <v>4056.1</v>
      </c>
      <c r="T102" s="74"/>
      <c r="U102" s="74"/>
      <c r="V102" s="74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</row>
    <row r="103" spans="1:262" s="35" customFormat="1" ht="12.6" customHeight="1">
      <c r="A103" s="334">
        <v>3211</v>
      </c>
      <c r="B103" s="10" t="s">
        <v>78</v>
      </c>
      <c r="C103" s="71">
        <f t="shared" si="26"/>
        <v>9841.2099999999991</v>
      </c>
      <c r="D103" s="74"/>
      <c r="E103" s="74"/>
      <c r="F103" s="74"/>
      <c r="G103" s="74"/>
      <c r="H103" s="74">
        <v>3119.7500000000018</v>
      </c>
      <c r="I103" s="74"/>
      <c r="J103" s="74">
        <v>6274.489999999998</v>
      </c>
      <c r="K103" s="74"/>
      <c r="L103" s="74"/>
      <c r="M103" s="74"/>
      <c r="N103" s="74"/>
      <c r="O103" s="74"/>
      <c r="P103" s="74"/>
      <c r="Q103" s="74"/>
      <c r="R103" s="74"/>
      <c r="S103" s="74">
        <v>446.96999999999997</v>
      </c>
      <c r="T103" s="74"/>
      <c r="U103" s="74"/>
      <c r="V103" s="74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</row>
    <row r="104" spans="1:262" s="35" customFormat="1" ht="12.6" customHeight="1">
      <c r="A104" s="334">
        <v>3212</v>
      </c>
      <c r="B104" s="10" t="s">
        <v>52</v>
      </c>
      <c r="C104" s="71">
        <f t="shared" si="26"/>
        <v>14731.92</v>
      </c>
      <c r="D104" s="74">
        <v>14366.57</v>
      </c>
      <c r="E104" s="74"/>
      <c r="F104" s="74"/>
      <c r="G104" s="74"/>
      <c r="H104" s="74">
        <v>81.5</v>
      </c>
      <c r="I104" s="74"/>
      <c r="J104" s="74">
        <v>112.85</v>
      </c>
      <c r="K104" s="74"/>
      <c r="L104" s="74"/>
      <c r="M104" s="74"/>
      <c r="N104" s="74"/>
      <c r="O104" s="74"/>
      <c r="P104" s="74"/>
      <c r="Q104" s="74"/>
      <c r="R104" s="74"/>
      <c r="S104" s="74">
        <v>171</v>
      </c>
      <c r="T104" s="74"/>
      <c r="U104" s="74"/>
      <c r="V104" s="74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</row>
    <row r="105" spans="1:262" s="35" customFormat="1" ht="12.6" customHeight="1">
      <c r="A105" s="334">
        <v>3213</v>
      </c>
      <c r="B105" s="10" t="s">
        <v>97</v>
      </c>
      <c r="C105" s="71">
        <f t="shared" si="26"/>
        <v>40013.26</v>
      </c>
      <c r="D105" s="74"/>
      <c r="E105" s="74"/>
      <c r="F105" s="74"/>
      <c r="G105" s="74"/>
      <c r="H105" s="74">
        <v>325.44999999999561</v>
      </c>
      <c r="I105" s="74"/>
      <c r="J105" s="74">
        <v>38036.410000000003</v>
      </c>
      <c r="K105" s="74"/>
      <c r="L105" s="74"/>
      <c r="M105" s="74"/>
      <c r="N105" s="74"/>
      <c r="O105" s="74"/>
      <c r="P105" s="74"/>
      <c r="Q105" s="74"/>
      <c r="R105" s="74"/>
      <c r="S105" s="74">
        <v>1651.4</v>
      </c>
      <c r="T105" s="74"/>
      <c r="U105" s="74"/>
      <c r="V105" s="74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</row>
    <row r="106" spans="1:262" s="35" customFormat="1" ht="12.6" customHeight="1">
      <c r="A106" s="334">
        <v>3214</v>
      </c>
      <c r="B106" s="10" t="s">
        <v>126</v>
      </c>
      <c r="C106" s="71">
        <f t="shared" si="26"/>
        <v>2691.6</v>
      </c>
      <c r="D106" s="74"/>
      <c r="E106" s="74"/>
      <c r="F106" s="74"/>
      <c r="G106" s="74"/>
      <c r="H106" s="74">
        <v>84</v>
      </c>
      <c r="I106" s="74">
        <v>237.67</v>
      </c>
      <c r="J106" s="74">
        <v>583.20000000000005</v>
      </c>
      <c r="K106" s="74"/>
      <c r="L106" s="74"/>
      <c r="M106" s="74"/>
      <c r="N106" s="74"/>
      <c r="O106" s="74"/>
      <c r="P106" s="74"/>
      <c r="Q106" s="74"/>
      <c r="R106" s="74"/>
      <c r="S106" s="74">
        <v>1786.73</v>
      </c>
      <c r="T106" s="74"/>
      <c r="U106" s="74"/>
      <c r="V106" s="74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</row>
    <row r="107" spans="1:262" s="35" customFormat="1" ht="12.6" customHeight="1">
      <c r="A107" s="334">
        <v>322</v>
      </c>
      <c r="B107" s="10" t="s">
        <v>5279</v>
      </c>
      <c r="C107" s="71">
        <f t="shared" si="26"/>
        <v>45950.01</v>
      </c>
      <c r="D107" s="74"/>
      <c r="E107" s="74"/>
      <c r="F107" s="74"/>
      <c r="G107" s="74"/>
      <c r="H107" s="74">
        <f>SUM(H108:H112)</f>
        <v>10369.799999999999</v>
      </c>
      <c r="I107" s="74">
        <f>SUM(I108:I112)</f>
        <v>12986.35</v>
      </c>
      <c r="J107" s="74">
        <f>SUM(J108:J112)</f>
        <v>7377.8700000000008</v>
      </c>
      <c r="K107" s="74"/>
      <c r="L107" s="74"/>
      <c r="M107" s="74"/>
      <c r="N107" s="74"/>
      <c r="O107" s="74"/>
      <c r="P107" s="74"/>
      <c r="Q107" s="74"/>
      <c r="R107" s="74"/>
      <c r="S107" s="74">
        <f>SUM(S108:S112)</f>
        <v>15215.99</v>
      </c>
      <c r="T107" s="74"/>
      <c r="U107" s="74"/>
      <c r="V107" s="74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</row>
    <row r="108" spans="1:262" s="35" customFormat="1" ht="12.6" customHeight="1">
      <c r="A108" s="334">
        <v>3221</v>
      </c>
      <c r="B108" s="10" t="s">
        <v>79</v>
      </c>
      <c r="C108" s="71">
        <f t="shared" si="26"/>
        <v>19697.950000000004</v>
      </c>
      <c r="D108" s="74"/>
      <c r="E108" s="74"/>
      <c r="F108" s="74"/>
      <c r="G108" s="74"/>
      <c r="H108" s="74">
        <v>4172.6000000000004</v>
      </c>
      <c r="I108" s="74">
        <v>6512.4800000000005</v>
      </c>
      <c r="J108" s="74">
        <v>1884.52</v>
      </c>
      <c r="K108" s="74"/>
      <c r="L108" s="74"/>
      <c r="M108" s="74"/>
      <c r="N108" s="74"/>
      <c r="O108" s="74"/>
      <c r="P108" s="74"/>
      <c r="Q108" s="74"/>
      <c r="R108" s="74"/>
      <c r="S108" s="74">
        <v>7128.35</v>
      </c>
      <c r="T108" s="74"/>
      <c r="U108" s="74"/>
      <c r="V108" s="74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</row>
    <row r="109" spans="1:262" s="35" customFormat="1" ht="12.6" customHeight="1">
      <c r="A109" s="334">
        <v>3222</v>
      </c>
      <c r="B109" s="10" t="s">
        <v>5280</v>
      </c>
      <c r="C109" s="71">
        <f t="shared" si="26"/>
        <v>399.83</v>
      </c>
      <c r="D109" s="74"/>
      <c r="E109" s="74"/>
      <c r="F109" s="74"/>
      <c r="G109" s="74"/>
      <c r="H109" s="74">
        <v>399.83</v>
      </c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</row>
    <row r="110" spans="1:262" s="35" customFormat="1" ht="12.6" customHeight="1">
      <c r="A110" s="334">
        <v>3223</v>
      </c>
      <c r="B110" s="10" t="s">
        <v>88</v>
      </c>
      <c r="C110" s="71">
        <f t="shared" si="26"/>
        <v>24180.54</v>
      </c>
      <c r="D110" s="74"/>
      <c r="E110" s="74"/>
      <c r="F110" s="74"/>
      <c r="G110" s="74"/>
      <c r="H110" s="74">
        <v>4827.7499999999982</v>
      </c>
      <c r="I110" s="74">
        <v>6473.87</v>
      </c>
      <c r="J110" s="74">
        <v>5099.6000000000004</v>
      </c>
      <c r="K110" s="339"/>
      <c r="L110" s="74"/>
      <c r="M110" s="74"/>
      <c r="N110" s="74"/>
      <c r="O110" s="74"/>
      <c r="P110" s="74"/>
      <c r="Q110" s="74"/>
      <c r="R110" s="74"/>
      <c r="S110" s="74">
        <v>7779.32</v>
      </c>
      <c r="T110" s="74"/>
      <c r="U110" s="74"/>
      <c r="V110" s="74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</row>
    <row r="111" spans="1:262" s="35" customFormat="1" ht="12.6" customHeight="1">
      <c r="A111" s="334">
        <v>3224</v>
      </c>
      <c r="B111" s="10" t="s">
        <v>93</v>
      </c>
      <c r="C111" s="71">
        <f t="shared" si="26"/>
        <v>308.32</v>
      </c>
      <c r="D111" s="74"/>
      <c r="E111" s="74"/>
      <c r="F111" s="74"/>
      <c r="G111" s="74"/>
      <c r="H111" s="74"/>
      <c r="I111" s="74"/>
      <c r="J111" s="74"/>
      <c r="K111" s="339"/>
      <c r="L111" s="74"/>
      <c r="M111" s="74"/>
      <c r="N111" s="74"/>
      <c r="O111" s="74"/>
      <c r="P111" s="74"/>
      <c r="Q111" s="74"/>
      <c r="R111" s="74"/>
      <c r="S111" s="74">
        <v>308.32</v>
      </c>
      <c r="T111" s="74"/>
      <c r="U111" s="74"/>
      <c r="V111" s="74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</row>
    <row r="112" spans="1:262" s="35" customFormat="1" ht="12.6" customHeight="1">
      <c r="A112" s="334">
        <v>3225</v>
      </c>
      <c r="B112" s="10" t="s">
        <v>101</v>
      </c>
      <c r="C112" s="71">
        <f t="shared" si="26"/>
        <v>1363.37</v>
      </c>
      <c r="D112" s="74"/>
      <c r="E112" s="74"/>
      <c r="F112" s="74"/>
      <c r="G112" s="74"/>
      <c r="H112" s="74">
        <v>969.61999999999989</v>
      </c>
      <c r="I112" s="74"/>
      <c r="J112" s="74">
        <v>393.75</v>
      </c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</row>
    <row r="113" spans="1:262" s="35" customFormat="1" ht="12.6" customHeight="1">
      <c r="A113" s="334">
        <v>323</v>
      </c>
      <c r="B113" s="10" t="s">
        <v>5281</v>
      </c>
      <c r="C113" s="71">
        <f t="shared" si="26"/>
        <v>124269.36</v>
      </c>
      <c r="D113" s="74"/>
      <c r="E113" s="74"/>
      <c r="F113" s="74">
        <f>SUM(F114:F121)</f>
        <v>657.76</v>
      </c>
      <c r="G113" s="74"/>
      <c r="H113" s="74">
        <f>SUM(H114:H121)</f>
        <v>28699.420000000006</v>
      </c>
      <c r="I113" s="74">
        <f>SUM(I114:I121)</f>
        <v>13971.23</v>
      </c>
      <c r="J113" s="74">
        <f>SUM(J114:J121)</f>
        <v>26559.279999999999</v>
      </c>
      <c r="K113" s="74"/>
      <c r="L113" s="74"/>
      <c r="M113" s="74"/>
      <c r="N113" s="74"/>
      <c r="O113" s="74"/>
      <c r="P113" s="74"/>
      <c r="Q113" s="74"/>
      <c r="R113" s="74"/>
      <c r="S113" s="74">
        <f>SUM(S114:S121)</f>
        <v>54381.67</v>
      </c>
      <c r="T113" s="74"/>
      <c r="U113" s="74"/>
      <c r="V113" s="74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</row>
    <row r="114" spans="1:262" s="35" customFormat="1" ht="12.6" customHeight="1">
      <c r="A114" s="334">
        <v>3231</v>
      </c>
      <c r="B114" s="10" t="s">
        <v>102</v>
      </c>
      <c r="C114" s="71">
        <f t="shared" si="26"/>
        <v>6815.5099999999984</v>
      </c>
      <c r="D114" s="74"/>
      <c r="E114" s="74"/>
      <c r="F114" s="74"/>
      <c r="G114" s="74"/>
      <c r="H114" s="74">
        <v>1355.369999999999</v>
      </c>
      <c r="I114" s="74">
        <v>2087.27</v>
      </c>
      <c r="J114" s="74">
        <v>1089.01</v>
      </c>
      <c r="K114" s="74"/>
      <c r="L114" s="74"/>
      <c r="M114" s="74"/>
      <c r="N114" s="74"/>
      <c r="O114" s="74"/>
      <c r="P114" s="74"/>
      <c r="Q114" s="74"/>
      <c r="R114" s="74"/>
      <c r="S114" s="74">
        <v>2283.86</v>
      </c>
      <c r="T114" s="74"/>
      <c r="U114" s="74"/>
      <c r="V114" s="74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</row>
    <row r="115" spans="1:262" s="35" customFormat="1" ht="12.6" customHeight="1">
      <c r="A115" s="334">
        <v>3232</v>
      </c>
      <c r="B115" s="10" t="s">
        <v>89</v>
      </c>
      <c r="C115" s="71">
        <f t="shared" si="26"/>
        <v>1000.56</v>
      </c>
      <c r="D115" s="74"/>
      <c r="E115" s="74"/>
      <c r="F115" s="74"/>
      <c r="G115" s="74"/>
      <c r="H115" s="74">
        <v>73.010000000000005</v>
      </c>
      <c r="I115" s="74">
        <v>339.31999999999994</v>
      </c>
      <c r="J115" s="74">
        <v>73.010000000000005</v>
      </c>
      <c r="K115" s="74"/>
      <c r="L115" s="74"/>
      <c r="M115" s="74"/>
      <c r="N115" s="74"/>
      <c r="O115" s="74"/>
      <c r="P115" s="74"/>
      <c r="Q115" s="74"/>
      <c r="R115" s="74"/>
      <c r="S115" s="74">
        <v>515.22</v>
      </c>
      <c r="T115" s="74"/>
      <c r="U115" s="74"/>
      <c r="V115" s="74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</row>
    <row r="116" spans="1:262" s="35" customFormat="1" ht="12.6" customHeight="1">
      <c r="A116" s="334">
        <v>3233</v>
      </c>
      <c r="B116" s="10" t="s">
        <v>77</v>
      </c>
      <c r="C116" s="71">
        <f t="shared" si="26"/>
        <v>10119.5</v>
      </c>
      <c r="D116" s="74"/>
      <c r="E116" s="74"/>
      <c r="F116" s="74"/>
      <c r="G116" s="74"/>
      <c r="H116" s="74">
        <v>3280.36</v>
      </c>
      <c r="I116" s="74">
        <v>1804.2</v>
      </c>
      <c r="J116" s="74">
        <v>1081.51</v>
      </c>
      <c r="K116" s="74"/>
      <c r="L116" s="74"/>
      <c r="M116" s="74"/>
      <c r="N116" s="74"/>
      <c r="O116" s="74"/>
      <c r="P116" s="74"/>
      <c r="Q116" s="74"/>
      <c r="R116" s="74"/>
      <c r="S116" s="74">
        <v>3953.4299999999994</v>
      </c>
      <c r="T116" s="74"/>
      <c r="U116" s="74"/>
      <c r="V116" s="74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</row>
    <row r="117" spans="1:262" s="35" customFormat="1" ht="12.6" customHeight="1">
      <c r="A117" s="334">
        <v>3234</v>
      </c>
      <c r="B117" s="10" t="s">
        <v>90</v>
      </c>
      <c r="C117" s="71">
        <f t="shared" si="26"/>
        <v>4476.21</v>
      </c>
      <c r="D117" s="74"/>
      <c r="E117" s="74"/>
      <c r="F117" s="74"/>
      <c r="G117" s="74"/>
      <c r="H117" s="74">
        <v>976.46</v>
      </c>
      <c r="I117" s="74">
        <v>775.93000000000006</v>
      </c>
      <c r="J117" s="74">
        <v>870.68000000000006</v>
      </c>
      <c r="K117" s="74"/>
      <c r="L117" s="74"/>
      <c r="M117" s="74"/>
      <c r="N117" s="74"/>
      <c r="O117" s="74"/>
      <c r="P117" s="74"/>
      <c r="Q117" s="74"/>
      <c r="R117" s="74"/>
      <c r="S117" s="74">
        <v>1853.1399999999999</v>
      </c>
      <c r="T117" s="74"/>
      <c r="U117" s="74"/>
      <c r="V117" s="74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</row>
    <row r="118" spans="1:262" s="35" customFormat="1" ht="12.6" customHeight="1">
      <c r="A118" s="334">
        <v>3235</v>
      </c>
      <c r="B118" s="10" t="s">
        <v>110</v>
      </c>
      <c r="C118" s="71">
        <f t="shared" si="26"/>
        <v>17169.87</v>
      </c>
      <c r="D118" s="74"/>
      <c r="E118" s="74"/>
      <c r="F118" s="74"/>
      <c r="G118" s="74"/>
      <c r="H118" s="74">
        <v>3819.5699999999979</v>
      </c>
      <c r="I118" s="74">
        <v>4031.74</v>
      </c>
      <c r="J118" s="74">
        <v>3094.7</v>
      </c>
      <c r="K118" s="74"/>
      <c r="L118" s="74"/>
      <c r="M118" s="74"/>
      <c r="N118" s="74"/>
      <c r="O118" s="74"/>
      <c r="P118" s="74"/>
      <c r="Q118" s="74"/>
      <c r="R118" s="74"/>
      <c r="S118" s="74">
        <v>6223.8600000000006</v>
      </c>
      <c r="T118" s="74"/>
      <c r="U118" s="74"/>
      <c r="V118" s="74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</row>
    <row r="119" spans="1:262" s="35" customFormat="1" ht="12.6" customHeight="1">
      <c r="A119" s="334">
        <v>3237</v>
      </c>
      <c r="B119" s="10" t="s">
        <v>66</v>
      </c>
      <c r="C119" s="71">
        <f t="shared" si="26"/>
        <v>55929.990000000005</v>
      </c>
      <c r="D119" s="74"/>
      <c r="E119" s="74"/>
      <c r="F119" s="74">
        <v>657.76</v>
      </c>
      <c r="G119" s="74"/>
      <c r="H119" s="74">
        <v>10426.340000000007</v>
      </c>
      <c r="I119" s="74">
        <v>4840.74</v>
      </c>
      <c r="J119" s="74">
        <v>14194.23</v>
      </c>
      <c r="K119" s="74"/>
      <c r="L119" s="74"/>
      <c r="M119" s="74"/>
      <c r="N119" s="74"/>
      <c r="O119" s="74"/>
      <c r="P119" s="74"/>
      <c r="Q119" s="74"/>
      <c r="R119" s="74"/>
      <c r="S119" s="74">
        <v>25810.92</v>
      </c>
      <c r="T119" s="74"/>
      <c r="U119" s="74"/>
      <c r="V119" s="74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</row>
    <row r="120" spans="1:262" s="35" customFormat="1" ht="12.6" customHeight="1">
      <c r="A120" s="334">
        <v>3238</v>
      </c>
      <c r="B120" s="10" t="s">
        <v>103</v>
      </c>
      <c r="C120" s="71">
        <f t="shared" si="26"/>
        <v>5142</v>
      </c>
      <c r="D120" s="74"/>
      <c r="E120" s="74"/>
      <c r="F120" s="74"/>
      <c r="G120" s="74"/>
      <c r="H120" s="74">
        <v>3893.12</v>
      </c>
      <c r="I120" s="74"/>
      <c r="J120" s="74">
        <v>549.12</v>
      </c>
      <c r="K120" s="74"/>
      <c r="L120" s="74"/>
      <c r="M120" s="74"/>
      <c r="N120" s="74"/>
      <c r="O120" s="74"/>
      <c r="P120" s="74"/>
      <c r="Q120" s="74"/>
      <c r="R120" s="74"/>
      <c r="S120" s="74">
        <v>699.76</v>
      </c>
      <c r="T120" s="74"/>
      <c r="U120" s="74"/>
      <c r="V120" s="74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</row>
    <row r="121" spans="1:262" s="35" customFormat="1" ht="12.6" customHeight="1">
      <c r="A121" s="334">
        <v>3239</v>
      </c>
      <c r="B121" s="10" t="s">
        <v>83</v>
      </c>
      <c r="C121" s="71">
        <f t="shared" si="26"/>
        <v>23615.72</v>
      </c>
      <c r="D121" s="74"/>
      <c r="E121" s="74"/>
      <c r="F121" s="74"/>
      <c r="G121" s="74"/>
      <c r="H121" s="74">
        <v>4875.1900000000032</v>
      </c>
      <c r="I121" s="74">
        <v>92.03</v>
      </c>
      <c r="J121" s="74">
        <v>5607.0199999999995</v>
      </c>
      <c r="K121" s="74"/>
      <c r="L121" s="74"/>
      <c r="M121" s="74"/>
      <c r="N121" s="74"/>
      <c r="O121" s="74"/>
      <c r="P121" s="74"/>
      <c r="Q121" s="74"/>
      <c r="R121" s="74"/>
      <c r="S121" s="74">
        <v>13041.48</v>
      </c>
      <c r="T121" s="74"/>
      <c r="U121" s="74"/>
      <c r="V121" s="74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</row>
    <row r="122" spans="1:262" s="35" customFormat="1" ht="12.6" customHeight="1">
      <c r="A122" s="334">
        <v>324</v>
      </c>
      <c r="B122" s="10" t="s">
        <v>80</v>
      </c>
      <c r="C122" s="71">
        <f t="shared" si="26"/>
        <v>10880.94</v>
      </c>
      <c r="D122" s="74"/>
      <c r="E122" s="74"/>
      <c r="F122" s="74">
        <f>SUM(F123)</f>
        <v>926.55</v>
      </c>
      <c r="G122" s="74"/>
      <c r="H122" s="74">
        <f>SUM(H123)</f>
        <v>2201.1499999999996</v>
      </c>
      <c r="I122" s="74"/>
      <c r="J122" s="74">
        <f>SUM(J123)</f>
        <v>4011.97</v>
      </c>
      <c r="K122" s="74"/>
      <c r="L122" s="74"/>
      <c r="M122" s="74"/>
      <c r="N122" s="74"/>
      <c r="O122" s="74"/>
      <c r="P122" s="74"/>
      <c r="Q122" s="74"/>
      <c r="R122" s="74"/>
      <c r="S122" s="74">
        <f>SUM(S123)</f>
        <v>3741.27</v>
      </c>
      <c r="T122" s="74"/>
      <c r="U122" s="74"/>
      <c r="V122" s="74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</row>
    <row r="123" spans="1:262" s="35" customFormat="1" ht="12.6" customHeight="1">
      <c r="A123" s="334">
        <v>3241</v>
      </c>
      <c r="B123" s="10" t="s">
        <v>80</v>
      </c>
      <c r="C123" s="71">
        <f t="shared" si="26"/>
        <v>10880.94</v>
      </c>
      <c r="D123" s="74"/>
      <c r="E123" s="74"/>
      <c r="F123" s="74">
        <v>926.55</v>
      </c>
      <c r="G123" s="74"/>
      <c r="H123" s="74">
        <v>2201.1499999999996</v>
      </c>
      <c r="I123" s="74"/>
      <c r="J123" s="74">
        <v>4011.97</v>
      </c>
      <c r="K123" s="74"/>
      <c r="L123" s="74"/>
      <c r="M123" s="74"/>
      <c r="N123" s="74"/>
      <c r="O123" s="74"/>
      <c r="P123" s="74"/>
      <c r="Q123" s="74"/>
      <c r="R123" s="74"/>
      <c r="S123" s="74">
        <v>3741.27</v>
      </c>
      <c r="T123" s="74"/>
      <c r="U123" s="74"/>
      <c r="V123" s="74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</row>
    <row r="124" spans="1:262" s="35" customFormat="1" ht="12.6" customHeight="1">
      <c r="A124" s="334">
        <v>329</v>
      </c>
      <c r="B124" s="10" t="s">
        <v>57</v>
      </c>
      <c r="C124" s="71">
        <f t="shared" si="26"/>
        <v>44974.48</v>
      </c>
      <c r="D124" s="74"/>
      <c r="E124" s="74"/>
      <c r="F124" s="74">
        <f>SUM(F125:F130)</f>
        <v>8310.44</v>
      </c>
      <c r="G124" s="74"/>
      <c r="H124" s="74">
        <f>SUM(H125:H130)</f>
        <v>29494.22</v>
      </c>
      <c r="I124" s="74"/>
      <c r="J124" s="74">
        <f>SUM(J125:J130)</f>
        <v>7169.82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</row>
    <row r="125" spans="1:262" s="35" customFormat="1" ht="12.6" customHeight="1">
      <c r="A125" s="334">
        <v>3291</v>
      </c>
      <c r="B125" s="10" t="s">
        <v>5282</v>
      </c>
      <c r="C125" s="71">
        <f t="shared" si="26"/>
        <v>9225.57</v>
      </c>
      <c r="D125" s="74"/>
      <c r="E125" s="74"/>
      <c r="F125" s="74">
        <v>3719.81</v>
      </c>
      <c r="G125" s="74"/>
      <c r="H125" s="74">
        <v>1835.2599999999989</v>
      </c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>
        <v>3670.5</v>
      </c>
      <c r="T125" s="74"/>
      <c r="U125" s="74"/>
      <c r="V125" s="74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</row>
    <row r="126" spans="1:262" s="35" customFormat="1" ht="12.6" customHeight="1">
      <c r="A126" s="334">
        <v>3292</v>
      </c>
      <c r="B126" s="10" t="s">
        <v>5283</v>
      </c>
      <c r="C126" s="71">
        <f t="shared" si="26"/>
        <v>4932.03</v>
      </c>
      <c r="D126" s="74"/>
      <c r="E126" s="74"/>
      <c r="F126" s="74">
        <v>1482.16</v>
      </c>
      <c r="G126" s="74"/>
      <c r="H126" s="74">
        <v>3449.87</v>
      </c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</row>
    <row r="127" spans="1:262" s="35" customFormat="1" ht="12.6" customHeight="1">
      <c r="A127" s="334">
        <v>3293</v>
      </c>
      <c r="B127" s="10" t="s">
        <v>84</v>
      </c>
      <c r="C127" s="71">
        <f t="shared" si="26"/>
        <v>4879.72</v>
      </c>
      <c r="D127" s="74"/>
      <c r="E127" s="74"/>
      <c r="F127" s="74">
        <v>3108.4700000000003</v>
      </c>
      <c r="G127" s="74"/>
      <c r="H127" s="74">
        <v>1103.93</v>
      </c>
      <c r="I127" s="74"/>
      <c r="J127" s="74">
        <v>667.32</v>
      </c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</row>
    <row r="128" spans="1:262" s="35" customFormat="1" ht="12.6" customHeight="1">
      <c r="A128" s="334">
        <v>3294</v>
      </c>
      <c r="B128" s="10" t="s">
        <v>5284</v>
      </c>
      <c r="C128" s="71">
        <f t="shared" si="26"/>
        <v>213.14999999999998</v>
      </c>
      <c r="D128" s="74"/>
      <c r="E128" s="74"/>
      <c r="F128" s="74"/>
      <c r="G128" s="74"/>
      <c r="H128" s="74">
        <v>16.73</v>
      </c>
      <c r="I128" s="74"/>
      <c r="J128" s="74">
        <v>196.42</v>
      </c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</row>
    <row r="129" spans="1:262" s="35" customFormat="1" ht="12.6" customHeight="1">
      <c r="A129" s="334">
        <v>3295</v>
      </c>
      <c r="B129" s="10" t="s">
        <v>54</v>
      </c>
      <c r="C129" s="71">
        <f t="shared" si="26"/>
        <v>824.43</v>
      </c>
      <c r="D129" s="74"/>
      <c r="E129" s="74"/>
      <c r="F129" s="74"/>
      <c r="G129" s="74"/>
      <c r="H129" s="74">
        <v>824.43</v>
      </c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</row>
    <row r="130" spans="1:262" s="35" customFormat="1" ht="12.6" customHeight="1">
      <c r="A130" s="334">
        <v>3299</v>
      </c>
      <c r="B130" s="10" t="s">
        <v>57</v>
      </c>
      <c r="C130" s="71">
        <f t="shared" si="26"/>
        <v>28769.160000000003</v>
      </c>
      <c r="D130" s="74"/>
      <c r="E130" s="74"/>
      <c r="F130" s="74"/>
      <c r="G130" s="74"/>
      <c r="H130" s="74">
        <v>22264</v>
      </c>
      <c r="I130" s="74"/>
      <c r="J130" s="74">
        <v>6306.08</v>
      </c>
      <c r="K130" s="74"/>
      <c r="L130" s="74"/>
      <c r="M130" s="74"/>
      <c r="N130" s="74"/>
      <c r="O130" s="74"/>
      <c r="P130" s="74"/>
      <c r="Q130" s="74"/>
      <c r="R130" s="74"/>
      <c r="S130" s="74">
        <v>199.08</v>
      </c>
      <c r="T130" s="74"/>
      <c r="U130" s="74"/>
      <c r="V130" s="74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</row>
    <row r="131" spans="1:262" s="11" customFormat="1" ht="12.6" customHeight="1">
      <c r="A131" s="334">
        <v>34</v>
      </c>
      <c r="B131" s="10" t="s">
        <v>200</v>
      </c>
      <c r="C131" s="71">
        <f t="shared" si="26"/>
        <v>874.9899999999999</v>
      </c>
      <c r="D131" s="74">
        <f>SUMIFS('Unos rashoda i izdataka'!$L$3:$L$575,'Unos rashoda i izdataka'!$C$3:$C$575,"=11",'Unos rashoda i izdataka'!$P$3:$P$575,"=34")+SUMIFS('Unos rashoda P4'!$J$3:$J$501,'Unos rashoda P4'!$A$3:$A$501,"=11",'Unos rashoda P4'!$S$3:$S$501,"=34")</f>
        <v>0</v>
      </c>
      <c r="E131" s="74">
        <f>SUMIFS('Unos rashoda i izdataka'!$L$3:$L$575,'Unos rashoda i izdataka'!$C$3:$C$575,"=12",'Unos rashoda i izdataka'!$P$3:$P$575,"=34")+SUMIFS('Unos rashoda P4'!$J$3:$J$501,'Unos rashoda P4'!$A$3:$A$501,"=12",'Unos rashoda P4'!$S$3:$S$501,"=34")</f>
        <v>0</v>
      </c>
      <c r="F131" s="74">
        <f>SUMIFS('Unos rashoda i izdataka'!$L$3:$L$575,'Unos rashoda i izdataka'!$C$3:$C$575,"=31",'Unos rashoda i izdataka'!$P$3:$P$575,"=34")+SUMIFS('Unos rashoda P4'!$J$3:$J$501,'Unos rashoda P4'!$A$3:$A$501,"=31",'Unos rashoda P4'!$S$3:$S$501,"=34")</f>
        <v>254.62999999999988</v>
      </c>
      <c r="G131" s="74">
        <f>SUMIFS('Unos rashoda i izdataka'!$L$3:$L$575,'Unos rashoda i izdataka'!$C$3:$C$575,"=41",'Unos rashoda i izdataka'!$P$3:$P$575,"=34")+SUMIFS('Unos rashoda P4'!$J$3:$J$501,'Unos rashoda P4'!$A$3:$A$501,"=41",'Unos rashoda P4'!$S$3:$S$501,"=34")</f>
        <v>0</v>
      </c>
      <c r="H131" s="74">
        <f>SUMIFS('Unos rashoda i izdataka'!$L$3:$L$575,'Unos rashoda i izdataka'!$C$3:$C$575,"=43",'Unos rashoda i izdataka'!$P$3:$P$575,"=34")+SUMIFS('Unos rashoda P4'!$J$3:$J$501,'Unos rashoda P4'!$A$3:$A$501,"=43",'Unos rashoda P4'!$S$3:$S$501,"=34")</f>
        <v>452.20000000000005</v>
      </c>
      <c r="I131" s="74">
        <f>SUMIFS('Unos rashoda i izdataka'!$L$3:$L$575,'Unos rashoda i izdataka'!$C$3:$C$575,"=51",'Unos rashoda i izdataka'!$P$3:$P$575,"=34")+SUMIFS('Unos rashoda P4'!$J$3:$J$501,'Unos rashoda P4'!$A$3:$A$501,"=51",'Unos rashoda P4'!$S$3:$S$501,"=34")</f>
        <v>0</v>
      </c>
      <c r="J131" s="74">
        <f>SUMIFS('Unos rashoda i izdataka'!$L$3:$L$575,'Unos rashoda i izdataka'!$C$3:$C$575,"=52",'Unos rashoda i izdataka'!$P$3:$P$575,"=34")+SUMIFS('Unos rashoda P4'!$J$3:$J$501,'Unos rashoda P4'!$A$3:$A$501,"=52",'Unos rashoda P4'!$S$3:$S$501,"=34")</f>
        <v>168.16</v>
      </c>
      <c r="K131" s="74">
        <f>SUMIFS('Unos rashoda i izdataka'!$L$3:$L$575,'Unos rashoda i izdataka'!$C$3:$C$575,"=552",'Unos rashoda i izdataka'!$P$3:$P$575,"=34")+SUMIFS('Unos rashoda P4'!$J$3:$J$501,'Unos rashoda P4'!$A$3:$A$501,"=552",'Unos rashoda P4'!$S$3:$S$501,"=34")</f>
        <v>0</v>
      </c>
      <c r="L131" s="74">
        <f>SUMIFS('Unos rashoda i izdataka'!$L$3:$L$575,'Unos rashoda i izdataka'!$C$3:$C$575,"=559",'Unos rashoda i izdataka'!$P$3:$P$575,"=34")+SUMIFS('Unos rashoda P4'!$J$3:$J$501,'Unos rashoda P4'!$A$3:$A$501,"=559",'Unos rashoda P4'!$S$3:$S$501,"=34")</f>
        <v>0</v>
      </c>
      <c r="M131" s="74">
        <f>SUMIFS('Unos rashoda i izdataka'!$L$3:$L$575,'Unos rashoda i izdataka'!$C$3:$C$575,"=561",'Unos rashoda i izdataka'!$P$3:$P$575,"=34")+SUMIFS('Unos rashoda P4'!$J$3:$J$501,'Unos rashoda P4'!$A$3:$A$501,"=561",'Unos rashoda P4'!$S$3:$S$501,"=34")</f>
        <v>0</v>
      </c>
      <c r="N131" s="74">
        <f>SUMIFS('Unos rashoda i izdataka'!$L$3:$L$575,'Unos rashoda i izdataka'!$C$3:$C$575,"=563",'Unos rashoda i izdataka'!$P$3:$P$575,"=34")+SUMIFS('Unos rashoda P4'!$J$3:$J$501,'Unos rashoda P4'!$A$3:$A$501,"=563",'Unos rashoda P4'!$S$3:$S$501,"=34")</f>
        <v>0</v>
      </c>
      <c r="O131" s="74">
        <f>SUMIFS('Unos rashoda i izdataka'!$L$3:$L$575,'Unos rashoda i izdataka'!$C$3:$C$575,"=573",'Unos rashoda i izdataka'!$P$3:$P$575,"=34")+SUMIFS('Unos rashoda P4'!$J$3:$J$501,'Unos rashoda P4'!$A$3:$A$501,"=573",'Unos rashoda P4'!$S$3:$S$501,"=34")</f>
        <v>0</v>
      </c>
      <c r="P131" s="74">
        <f>SUMIFS('Unos rashoda i izdataka'!$L$3:$L$575,'Unos rashoda i izdataka'!$C$3:$C$575,"=575",'Unos rashoda i izdataka'!$P$3:$P$575,"=34")+SUMIFS('Unos rashoda P4'!$J$3:$J$501,'Unos rashoda P4'!$A$3:$A$501,"=575",'Unos rashoda P4'!$S$3:$S$501,"=34")</f>
        <v>0</v>
      </c>
      <c r="Q131" s="74">
        <f>SUMIFS('Unos rashoda i izdataka'!$L$3:$L$575,'Unos rashoda i izdataka'!$Q$3:$Q$575,"=576",'Unos rashoda i izdataka'!$P$3:$P$575,"=34")+SUMIFS('Unos rashoda P4'!$J$3:$J$501,'Unos rashoda P4'!$A$3:$A$501,"=576",'Unos rashoda P4'!$S$3:$S$501,"=34")</f>
        <v>0</v>
      </c>
      <c r="R131" s="74">
        <f>SUMIFS('Unos rashoda i izdataka'!$L$3:$L$575,'Unos rashoda i izdataka'!$C$3:$C$575,"=581",'Unos rashoda i izdataka'!$P$3:$P$575,"=34")+SUMIFS('Unos rashoda P4'!$J$3:$J$501,'Unos rashoda P4'!$A$3:$A$501,"=581",'Unos rashoda P4'!$S$3:$S$501,"=34")</f>
        <v>0</v>
      </c>
      <c r="S131" s="74">
        <f>SUMIFS('Unos rashoda i izdataka'!$L$3:$L$575,'Unos rashoda i izdataka'!$C$3:$C$575,"=61",'Unos rashoda i izdataka'!$P$3:$P$575,"=34")+SUMIFS('Unos rashoda P4'!$J$3:$J$501,'Unos rashoda P4'!$A$3:$A$501,"=61",'Unos rashoda P4'!$S$3:$S$501,"=34")</f>
        <v>0</v>
      </c>
      <c r="T131" s="74">
        <f>SUMIFS('Unos rashoda i izdataka'!$L$3:$L$575,'Unos rashoda i izdataka'!$C$3:$C$575,"=63",'Unos rashoda i izdataka'!$P$3:$P$575,"=34")+SUMIFS('Unos rashoda P4'!$J$3:$J$501,'Unos rashoda P4'!$A$3:$A$501,"=63",'Unos rashoda P4'!$S$3:$S$501,"=34")</f>
        <v>0</v>
      </c>
      <c r="U131" s="74">
        <f>SUMIFS('Unos rashoda i izdataka'!$L$3:$L$575,'Unos rashoda i izdataka'!$C$3:$C$575,"=71",'Unos rashoda i izdataka'!$P$3:$P$575,"=34")+SUMIFS('Unos rashoda P4'!$J$3:$J$501,'Unos rashoda P4'!$A$3:$A$501,"=71",'Unos rashoda P4'!$S$3:$S$501,"=34")</f>
        <v>0</v>
      </c>
      <c r="V131" s="74">
        <f>SUMIFS('Unos rashoda i izdataka'!$L$3:$L$575,'Unos rashoda i izdataka'!$C$3:$C$575,"=81",'Unos rashoda i izdataka'!$P$3:$P$575,"=34")+SUMIFS('Unos rashoda P4'!$J$3:$J$501,'Unos rashoda P4'!$A$3:$A$501,"=81",'Unos rashoda P4'!$S$3:$S$501,"=34")</f>
        <v>0</v>
      </c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</row>
    <row r="132" spans="1:262" s="11" customFormat="1" ht="12.6" customHeight="1">
      <c r="A132" s="334">
        <v>343</v>
      </c>
      <c r="B132" s="10" t="s">
        <v>5285</v>
      </c>
      <c r="C132" s="71">
        <f t="shared" si="26"/>
        <v>874.9899999999999</v>
      </c>
      <c r="D132" s="74"/>
      <c r="E132" s="74"/>
      <c r="F132" s="74">
        <f>SUM(F133)</f>
        <v>254.62999999999988</v>
      </c>
      <c r="G132" s="74"/>
      <c r="H132" s="74">
        <f>SUM(H133)</f>
        <v>452.20000000000005</v>
      </c>
      <c r="I132" s="74">
        <f>SUM(I133)</f>
        <v>168.16</v>
      </c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</row>
    <row r="133" spans="1:262" s="11" customFormat="1" ht="12.6" customHeight="1">
      <c r="A133" s="334">
        <v>3431</v>
      </c>
      <c r="B133" s="10" t="s">
        <v>82</v>
      </c>
      <c r="C133" s="71">
        <f t="shared" si="26"/>
        <v>874.9899999999999</v>
      </c>
      <c r="D133" s="74"/>
      <c r="E133" s="74"/>
      <c r="F133" s="74">
        <v>254.62999999999988</v>
      </c>
      <c r="G133" s="74"/>
      <c r="H133" s="74">
        <v>452.20000000000005</v>
      </c>
      <c r="I133" s="74">
        <v>168.16</v>
      </c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</row>
    <row r="134" spans="1:262" s="35" customFormat="1" ht="12.6" customHeight="1">
      <c r="A134" s="334">
        <v>35</v>
      </c>
      <c r="B134" s="10" t="s">
        <v>252</v>
      </c>
      <c r="C134" s="71">
        <f t="shared" si="26"/>
        <v>0</v>
      </c>
      <c r="D134" s="74">
        <f>SUMIFS('Unos rashoda i izdataka'!$L$3:$L$575,'Unos rashoda i izdataka'!$C$3:$C$575,"=11",'Unos rashoda i izdataka'!$P$3:$P$575,"=35")+SUMIFS('Unos rashoda P4'!$J$3:$J$501,'Unos rashoda P4'!$A$3:$A$501,"=11",'Unos rashoda P4'!$S$3:$S$501,"=35")</f>
        <v>0</v>
      </c>
      <c r="E134" s="74">
        <f>SUMIFS('Unos rashoda i izdataka'!$L$3:$L$575,'Unos rashoda i izdataka'!$C$3:$C$575,"=12",'Unos rashoda i izdataka'!$P$3:$P$575,"=35")+SUMIFS('Unos rashoda P4'!$J$3:$J$501,'Unos rashoda P4'!$A$3:$A$501,"=12",'Unos rashoda P4'!$S$3:$S$501,"=35")</f>
        <v>0</v>
      </c>
      <c r="F134" s="74">
        <f>SUMIFS('Unos rashoda i izdataka'!$L$3:$L$575,'Unos rashoda i izdataka'!$C$3:$C$575,"=31",'Unos rashoda i izdataka'!$P$3:$P$575,"=35")+SUMIFS('Unos rashoda P4'!$J$3:$J$501,'Unos rashoda P4'!$A$3:$A$501,"=31",'Unos rashoda P4'!$S$3:$S$501,"=35")</f>
        <v>0</v>
      </c>
      <c r="G134" s="74">
        <f>SUMIFS('Unos rashoda i izdataka'!$L$3:$L$575,'Unos rashoda i izdataka'!$C$3:$C$575,"=41",'Unos rashoda i izdataka'!$P$3:$P$575,"=35")+SUMIFS('Unos rashoda P4'!$J$3:$J$501,'Unos rashoda P4'!$A$3:$A$501,"=41",'Unos rashoda P4'!$S$3:$S$501,"=35")</f>
        <v>0</v>
      </c>
      <c r="H134" s="74">
        <f>SUMIFS('Unos rashoda i izdataka'!$L$3:$L$575,'Unos rashoda i izdataka'!$C$3:$C$575,"=43",'Unos rashoda i izdataka'!$P$3:$P$575,"=35")+SUMIFS('Unos rashoda P4'!$J$3:$J$501,'Unos rashoda P4'!$A$3:$A$501,"=43",'Unos rashoda P4'!$S$3:$S$501,"=35")</f>
        <v>0</v>
      </c>
      <c r="I134" s="74">
        <f>SUMIFS('Unos rashoda i izdataka'!$L$3:$L$575,'Unos rashoda i izdataka'!$C$3:$C$575,"=51",'Unos rashoda i izdataka'!$P$3:$P$575,"=35")+SUMIFS('Unos rashoda P4'!$J$3:$J$501,'Unos rashoda P4'!$A$3:$A$501,"=51",'Unos rashoda P4'!$S$3:$S$501,"=35")</f>
        <v>0</v>
      </c>
      <c r="J134" s="74">
        <f>SUMIFS('Unos rashoda i izdataka'!$L$3:$L$575,'Unos rashoda i izdataka'!$C$3:$C$575,"=52",'Unos rashoda i izdataka'!$P$3:$P$575,"=35")+SUMIFS('Unos rashoda P4'!$J$3:$J$501,'Unos rashoda P4'!$A$3:$A$501,"=52",'Unos rashoda P4'!$S$3:$S$501,"=35")</f>
        <v>0</v>
      </c>
      <c r="K134" s="74">
        <f>SUMIFS('Unos rashoda i izdataka'!$L$3:$L$575,'Unos rashoda i izdataka'!$C$3:$C$575,"=552",'Unos rashoda i izdataka'!$P$3:$P$575,"=35")+SUMIFS('Unos rashoda P4'!$J$3:$J$501,'Unos rashoda P4'!$A$3:$A$501,"=552",'Unos rashoda P4'!$S$3:$S$501,"=35")</f>
        <v>0</v>
      </c>
      <c r="L134" s="74">
        <f>SUMIFS('Unos rashoda i izdataka'!$L$3:$L$575,'Unos rashoda i izdataka'!$C$3:$C$575,"=559",'Unos rashoda i izdataka'!$P$3:$P$575,"=35")+SUMIFS('Unos rashoda P4'!$J$3:$J$501,'Unos rashoda P4'!$A$3:$A$501,"=559",'Unos rashoda P4'!$S$3:$S$501,"=35")</f>
        <v>0</v>
      </c>
      <c r="M134" s="74">
        <f>SUMIFS('Unos rashoda i izdataka'!$L$3:$L$575,'Unos rashoda i izdataka'!$C$3:$C$575,"=561",'Unos rashoda i izdataka'!$P$3:$P$575,"=35")+SUMIFS('Unos rashoda P4'!$J$3:$J$501,'Unos rashoda P4'!$A$3:$A$501,"=561",'Unos rashoda P4'!$S$3:$S$501,"=35")</f>
        <v>0</v>
      </c>
      <c r="N134" s="74">
        <f>SUMIFS('Unos rashoda i izdataka'!$L$3:$L$575,'Unos rashoda i izdataka'!$C$3:$C$575,"=563",'Unos rashoda i izdataka'!$P$3:$P$575,"=35")+SUMIFS('Unos rashoda P4'!$J$3:$J$501,'Unos rashoda P4'!$A$3:$A$501,"=563",'Unos rashoda P4'!$S$3:$S$501,"=35")</f>
        <v>0</v>
      </c>
      <c r="O134" s="74">
        <f>SUMIFS('Unos rashoda i izdataka'!$L$3:$L$575,'Unos rashoda i izdataka'!$C$3:$C$575,"=573",'Unos rashoda i izdataka'!$P$3:$P$575,"=35")+SUMIFS('Unos rashoda P4'!$J$3:$J$501,'Unos rashoda P4'!$A$3:$A$501,"=573",'Unos rashoda P4'!$S$3:$S$501,"=35")</f>
        <v>0</v>
      </c>
      <c r="P134" s="74">
        <f>SUMIFS('Unos rashoda i izdataka'!$L$3:$L$575,'Unos rashoda i izdataka'!$C$3:$C$575,"=575",'Unos rashoda i izdataka'!$P$3:$P$575,"=35")+SUMIFS('Unos rashoda P4'!$J$3:$J$501,'Unos rashoda P4'!$A$3:$A$501,"=575",'Unos rashoda P4'!$S$3:$S$501,"=35")</f>
        <v>0</v>
      </c>
      <c r="Q134" s="74">
        <f>SUMIFS('Unos rashoda i izdataka'!$L$3:$L$575,'Unos rashoda i izdataka'!$Q$3:$Q$575,"=576",'Unos rashoda i izdataka'!$P$3:$P$575,"=35")+SUMIFS('Unos rashoda P4'!$J$3:$J$501,'Unos rashoda P4'!$A$3:$A$501,"=576",'Unos rashoda P4'!$S$3:$S$501,"=35")</f>
        <v>0</v>
      </c>
      <c r="R134" s="74">
        <f>SUMIFS('Unos rashoda i izdataka'!$L$3:$L$575,'Unos rashoda i izdataka'!$C$3:$C$575,"=581",'Unos rashoda i izdataka'!$P$3:$P$575,"=35")+SUMIFS('Unos rashoda P4'!$J$3:$J$501,'Unos rashoda P4'!$A$3:$A$501,"=581",'Unos rashoda P4'!$S$3:$S$501,"=35")</f>
        <v>0</v>
      </c>
      <c r="S134" s="74">
        <f>SUMIFS('Unos rashoda i izdataka'!$L$3:$L$575,'Unos rashoda i izdataka'!$C$3:$C$575,"=61",'Unos rashoda i izdataka'!$P$3:$P$575,"=35")+SUMIFS('Unos rashoda P4'!$J$3:$J$501,'Unos rashoda P4'!$A$3:$A$501,"=61",'Unos rashoda P4'!$S$3:$S$501,"=35")</f>
        <v>0</v>
      </c>
      <c r="T134" s="74">
        <f>SUMIFS('Unos rashoda i izdataka'!$L$3:$L$575,'Unos rashoda i izdataka'!$C$3:$C$575,"=63",'Unos rashoda i izdataka'!$P$3:$P$575,"=35")+SUMIFS('Unos rashoda P4'!$J$3:$J$501,'Unos rashoda P4'!$A$3:$A$501,"=63",'Unos rashoda P4'!$S$3:$S$501,"=35")</f>
        <v>0</v>
      </c>
      <c r="U134" s="74">
        <f>SUMIFS('Unos rashoda i izdataka'!$L$3:$L$575,'Unos rashoda i izdataka'!$C$3:$C$575,"=71",'Unos rashoda i izdataka'!$P$3:$P$575,"=35")+SUMIFS('Unos rashoda P4'!$J$3:$J$501,'Unos rashoda P4'!$A$3:$A$501,"=71",'Unos rashoda P4'!$S$3:$S$501,"=35")</f>
        <v>0</v>
      </c>
      <c r="V134" s="74">
        <f>SUMIFS('Unos rashoda i izdataka'!$L$3:$L$575,'Unos rashoda i izdataka'!$C$3:$C$575,"=81",'Unos rashoda i izdataka'!$P$3:$P$575,"=35")+SUMIFS('Unos rashoda P4'!$J$3:$J$501,'Unos rashoda P4'!$A$3:$A$501,"=81",'Unos rashoda P4'!$S$3:$S$501,"=35")</f>
        <v>0</v>
      </c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</row>
    <row r="135" spans="1:262" s="35" customFormat="1" ht="12.6" customHeight="1">
      <c r="A135" s="334">
        <v>36</v>
      </c>
      <c r="B135" s="12" t="s">
        <v>201</v>
      </c>
      <c r="C135" s="71">
        <f t="shared" si="26"/>
        <v>0</v>
      </c>
      <c r="D135" s="74">
        <f>SUMIFS('Unos rashoda i izdataka'!$L$3:$L$575,'Unos rashoda i izdataka'!$C$3:$C$575,"=11",'Unos rashoda i izdataka'!$P$3:$P$575,"=36")+SUMIFS('Unos rashoda P4'!$J$3:$J$501,'Unos rashoda P4'!$A$3:$A$501,"=11",'Unos rashoda P4'!$S$3:$S$501,"=36")</f>
        <v>0</v>
      </c>
      <c r="E135" s="74">
        <f>SUMIFS('Unos rashoda i izdataka'!$L$3:$L$575,'Unos rashoda i izdataka'!$C$3:$C$575,"=12",'Unos rashoda i izdataka'!$P$3:$P$575,"=36")+SUMIFS('Unos rashoda P4'!$J$3:$J$501,'Unos rashoda P4'!$A$3:$A$501,"=12",'Unos rashoda P4'!$S$3:$S$501,"=36")</f>
        <v>0</v>
      </c>
      <c r="F135" s="74">
        <f>SUMIFS('Unos rashoda i izdataka'!$L$3:$L$575,'Unos rashoda i izdataka'!$C$3:$C$575,"=31",'Unos rashoda i izdataka'!$P$3:$P$575,"=36")+SUMIFS('Unos rashoda P4'!$J$3:$J$501,'Unos rashoda P4'!$A$3:$A$501,"=31",'Unos rashoda P4'!$S$3:$S$501,"=36")</f>
        <v>0</v>
      </c>
      <c r="G135" s="74">
        <f>SUMIFS('Unos rashoda i izdataka'!$L$3:$L$575,'Unos rashoda i izdataka'!$C$3:$C$575,"=41",'Unos rashoda i izdataka'!$P$3:$P$575,"=36")+SUMIFS('Unos rashoda P4'!$J$3:$J$501,'Unos rashoda P4'!$A$3:$A$501,"=41",'Unos rashoda P4'!$S$3:$S$501,"=36")</f>
        <v>0</v>
      </c>
      <c r="H135" s="74">
        <f>SUMIFS('Unos rashoda i izdataka'!$L$3:$L$575,'Unos rashoda i izdataka'!$C$3:$C$575,"=43",'Unos rashoda i izdataka'!$P$3:$P$575,"=36")+SUMIFS('Unos rashoda P4'!$J$3:$J$501,'Unos rashoda P4'!$A$3:$A$501,"=43",'Unos rashoda P4'!$S$3:$S$501,"=36")</f>
        <v>0</v>
      </c>
      <c r="I135" s="74">
        <f>SUMIFS('Unos rashoda i izdataka'!$L$3:$L$575,'Unos rashoda i izdataka'!$C$3:$C$575,"=51",'Unos rashoda i izdataka'!$P$3:$P$575,"=36")+SUMIFS('Unos rashoda P4'!$J$3:$J$501,'Unos rashoda P4'!$A$3:$A$501,"=51",'Unos rashoda P4'!$S$3:$S$501,"=36")</f>
        <v>0</v>
      </c>
      <c r="J135" s="74">
        <f>SUMIFS('Unos rashoda i izdataka'!$L$3:$L$575,'Unos rashoda i izdataka'!$C$3:$C$575,"=52",'Unos rashoda i izdataka'!$P$3:$P$575,"=36")+SUMIFS('Unos rashoda P4'!$J$3:$J$501,'Unos rashoda P4'!$A$3:$A$501,"=52",'Unos rashoda P4'!$S$3:$S$501,"=36")</f>
        <v>0</v>
      </c>
      <c r="K135" s="74">
        <f>SUMIFS('Unos rashoda i izdataka'!$L$3:$L$575,'Unos rashoda i izdataka'!$C$3:$C$575,"=552",'Unos rashoda i izdataka'!$P$3:$P$575,"=36")+SUMIFS('Unos rashoda P4'!$J$3:$J$501,'Unos rashoda P4'!$A$3:$A$501,"=552",'Unos rashoda P4'!$S$3:$S$501,"=36")</f>
        <v>0</v>
      </c>
      <c r="L135" s="74">
        <f>SUMIFS('Unos rashoda i izdataka'!$L$3:$L$575,'Unos rashoda i izdataka'!$C$3:$C$575,"=559",'Unos rashoda i izdataka'!$P$3:$P$575,"=36")+SUMIFS('Unos rashoda P4'!$J$3:$J$501,'Unos rashoda P4'!$A$3:$A$501,"=559",'Unos rashoda P4'!$S$3:$S$501,"=36")</f>
        <v>0</v>
      </c>
      <c r="M135" s="74">
        <f>SUMIFS('Unos rashoda i izdataka'!$L$3:$L$575,'Unos rashoda i izdataka'!$C$3:$C$575,"=561",'Unos rashoda i izdataka'!$P$3:$P$575,"=36")+SUMIFS('Unos rashoda P4'!$J$3:$J$501,'Unos rashoda P4'!$A$3:$A$501,"=561",'Unos rashoda P4'!$S$3:$S$501,"=36")</f>
        <v>0</v>
      </c>
      <c r="N135" s="74">
        <f>SUMIFS('Unos rashoda i izdataka'!$L$3:$L$575,'Unos rashoda i izdataka'!$C$3:$C$575,"=563",'Unos rashoda i izdataka'!$P$3:$P$575,"=36")+SUMIFS('Unos rashoda P4'!$J$3:$J$501,'Unos rashoda P4'!$A$3:$A$501,"=563",'Unos rashoda P4'!$S$3:$S$501,"=36")</f>
        <v>0</v>
      </c>
      <c r="O135" s="74">
        <f>SUMIFS('Unos rashoda i izdataka'!$L$3:$L$575,'Unos rashoda i izdataka'!$C$3:$C$575,"=573",'Unos rashoda i izdataka'!$P$3:$P$575,"=36")+SUMIFS('Unos rashoda P4'!$J$3:$J$501,'Unos rashoda P4'!$A$3:$A$501,"=573",'Unos rashoda P4'!$S$3:$S$501,"=36")</f>
        <v>0</v>
      </c>
      <c r="P135" s="74">
        <f>SUMIFS('Unos rashoda i izdataka'!$L$3:$L$575,'Unos rashoda i izdataka'!$C$3:$C$575,"=575",'Unos rashoda i izdataka'!$P$3:$P$575,"=36")+SUMIFS('Unos rashoda P4'!$J$3:$J$501,'Unos rashoda P4'!$A$3:$A$501,"=575",'Unos rashoda P4'!$S$3:$S$501,"=36")</f>
        <v>0</v>
      </c>
      <c r="Q135" s="74">
        <f>SUMIFS('Unos rashoda i izdataka'!$L$3:$L$575,'Unos rashoda i izdataka'!$Q$3:$Q$575,"=576",'Unos rashoda i izdataka'!$P$3:$P$575,"=36")+SUMIFS('Unos rashoda P4'!$J$3:$J$501,'Unos rashoda P4'!$A$3:$A$501,"=576",'Unos rashoda P4'!$S$3:$S$501,"=36")</f>
        <v>0</v>
      </c>
      <c r="R135" s="74">
        <f>SUMIFS('Unos rashoda i izdataka'!$L$3:$L$575,'Unos rashoda i izdataka'!$C$3:$C$575,"=581",'Unos rashoda i izdataka'!$P$3:$P$575,"=36")+SUMIFS('Unos rashoda P4'!$J$3:$J$501,'Unos rashoda P4'!$A$3:$A$501,"=581",'Unos rashoda P4'!$S$3:$S$501,"=36")</f>
        <v>0</v>
      </c>
      <c r="S135" s="74">
        <f>SUMIFS('Unos rashoda i izdataka'!$L$3:$L$575,'Unos rashoda i izdataka'!$C$3:$C$575,"=61",'Unos rashoda i izdataka'!$P$3:$P$575,"=36")+SUMIFS('Unos rashoda P4'!$J$3:$J$501,'Unos rashoda P4'!$A$3:$A$501,"=61",'Unos rashoda P4'!$S$3:$S$501,"=36")</f>
        <v>0</v>
      </c>
      <c r="T135" s="74">
        <f>SUMIFS('Unos rashoda i izdataka'!$L$3:$L$575,'Unos rashoda i izdataka'!$C$3:$C$575,"=63",'Unos rashoda i izdataka'!$P$3:$P$575,"=36")+SUMIFS('Unos rashoda P4'!$J$3:$J$501,'Unos rashoda P4'!$A$3:$A$501,"=63",'Unos rashoda P4'!$S$3:$S$501,"=36")</f>
        <v>0</v>
      </c>
      <c r="U135" s="74">
        <f>SUMIFS('Unos rashoda i izdataka'!$L$3:$L$575,'Unos rashoda i izdataka'!$C$3:$C$575,"=71",'Unos rashoda i izdataka'!$P$3:$P$575,"=36")+SUMIFS('Unos rashoda P4'!$J$3:$J$501,'Unos rashoda P4'!$A$3:$A$501,"=71",'Unos rashoda P4'!$S$3:$S$501,"=36")</f>
        <v>0</v>
      </c>
      <c r="V135" s="74">
        <f>SUMIFS('Unos rashoda i izdataka'!$L$3:$L$575,'Unos rashoda i izdataka'!$C$3:$C$575,"=81",'Unos rashoda i izdataka'!$P$3:$P$575,"=36")+SUMIFS('Unos rashoda P4'!$J$3:$J$501,'Unos rashoda P4'!$A$3:$A$501,"=81",'Unos rashoda P4'!$S$3:$S$501,"=36")</f>
        <v>0</v>
      </c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</row>
    <row r="136" spans="1:262" s="13" customFormat="1" ht="12.6" customHeight="1">
      <c r="A136" s="334">
        <v>37</v>
      </c>
      <c r="B136" s="10" t="s">
        <v>253</v>
      </c>
      <c r="C136" s="71">
        <f t="shared" si="26"/>
        <v>6501.2199999999993</v>
      </c>
      <c r="D136" s="74">
        <f>SUMIFS('Unos rashoda i izdataka'!$L$3:$L$575,'Unos rashoda i izdataka'!$C$3:$C$575,"=11",'Unos rashoda i izdataka'!$P$3:$P$575,"=37")+SUMIFS('Unos rashoda P4'!$J$3:$J$501,'Unos rashoda P4'!$A$3:$A$501,"=11",'Unos rashoda P4'!$S$3:$S$501,"=37")</f>
        <v>0</v>
      </c>
      <c r="E136" s="74">
        <f>SUMIFS('Unos rashoda i izdataka'!$L$3:$L$575,'Unos rashoda i izdataka'!$C$3:$C$575,"=12",'Unos rashoda i izdataka'!$P$3:$P$575,"=37")+SUMIFS('Unos rashoda P4'!$J$3:$J$501,'Unos rashoda P4'!$A$3:$A$501,"=12",'Unos rashoda P4'!$S$3:$S$501,"=37")</f>
        <v>0</v>
      </c>
      <c r="F136" s="74">
        <f>SUMIFS('Unos rashoda i izdataka'!$L$3:$L$575,'Unos rashoda i izdataka'!$C$3:$C$575,"=31",'Unos rashoda i izdataka'!$P$3:$P$575,"=37")+SUMIFS('Unos rashoda P4'!$J$3:$J$501,'Unos rashoda P4'!$A$3:$A$501,"=31",'Unos rashoda P4'!$S$3:$S$501,"=37")</f>
        <v>0</v>
      </c>
      <c r="G136" s="74">
        <f>SUMIFS('Unos rashoda i izdataka'!$L$3:$L$575,'Unos rashoda i izdataka'!$C$3:$C$575,"=41",'Unos rashoda i izdataka'!$P$3:$P$575,"=37")+SUMIFS('Unos rashoda P4'!$J$3:$J$501,'Unos rashoda P4'!$A$3:$A$501,"=41",'Unos rashoda P4'!$S$3:$S$501,"=37")</f>
        <v>0</v>
      </c>
      <c r="H136" s="74">
        <f>SUMIFS('Unos rashoda i izdataka'!$L$3:$L$575,'Unos rashoda i izdataka'!$C$3:$C$575,"=43",'Unos rashoda i izdataka'!$P$3:$P$575,"=37")+SUMIFS('Unos rashoda P4'!$J$3:$J$501,'Unos rashoda P4'!$A$3:$A$501,"=43",'Unos rashoda P4'!$S$3:$S$501,"=37")</f>
        <v>6151.13</v>
      </c>
      <c r="I136" s="74">
        <f>SUMIFS('Unos rashoda i izdataka'!$L$3:$L$575,'Unos rashoda i izdataka'!$C$3:$C$575,"=51",'Unos rashoda i izdataka'!$P$3:$P$575,"=37")+SUMIFS('Unos rashoda P4'!$J$3:$J$501,'Unos rashoda P4'!$A$3:$A$501,"=51",'Unos rashoda P4'!$S$3:$S$501,"=37")</f>
        <v>0</v>
      </c>
      <c r="J136" s="74">
        <f>SUMIFS('Unos rashoda i izdataka'!$L$3:$L$575,'Unos rashoda i izdataka'!$C$3:$C$575,"=52",'Unos rashoda i izdataka'!$P$3:$P$575,"=37")+SUMIFS('Unos rashoda P4'!$J$3:$J$501,'Unos rashoda P4'!$A$3:$A$501,"=52",'Unos rashoda P4'!$S$3:$S$501,"=37")</f>
        <v>350.08999999999969</v>
      </c>
      <c r="K136" s="74">
        <f>SUMIFS('Unos rashoda i izdataka'!$L$3:$L$575,'Unos rashoda i izdataka'!$C$3:$C$575,"=552",'Unos rashoda i izdataka'!$P$3:$P$575,"=37")+SUMIFS('Unos rashoda P4'!$J$3:$J$501,'Unos rashoda P4'!$A$3:$A$501,"=552",'Unos rashoda P4'!$S$3:$S$501,"=37")</f>
        <v>0</v>
      </c>
      <c r="L136" s="74">
        <f>SUMIFS('Unos rashoda i izdataka'!$L$3:$L$575,'Unos rashoda i izdataka'!$C$3:$C$575,"=559",'Unos rashoda i izdataka'!$P$3:$P$575,"=37")+SUMIFS('Unos rashoda P4'!$J$3:$J$501,'Unos rashoda P4'!$A$3:$A$501,"=559",'Unos rashoda P4'!$S$3:$S$501,"=37")</f>
        <v>0</v>
      </c>
      <c r="M136" s="74">
        <f>SUMIFS('Unos rashoda i izdataka'!$L$3:$L$575,'Unos rashoda i izdataka'!$C$3:$C$575,"=561",'Unos rashoda i izdataka'!$P$3:$P$575,"=37")+SUMIFS('Unos rashoda P4'!$J$3:$J$501,'Unos rashoda P4'!$A$3:$A$501,"=561",'Unos rashoda P4'!$S$3:$S$501,"=37")</f>
        <v>0</v>
      </c>
      <c r="N136" s="74">
        <f>SUMIFS('Unos rashoda i izdataka'!$L$3:$L$575,'Unos rashoda i izdataka'!$C$3:$C$575,"=563",'Unos rashoda i izdataka'!$P$3:$P$575,"=37")+SUMIFS('Unos rashoda P4'!$J$3:$J$501,'Unos rashoda P4'!$A$3:$A$501,"=563",'Unos rashoda P4'!$S$3:$S$501,"=37")</f>
        <v>0</v>
      </c>
      <c r="O136" s="74">
        <f>SUMIFS('Unos rashoda i izdataka'!$L$3:$L$575,'Unos rashoda i izdataka'!$C$3:$C$575,"=573",'Unos rashoda i izdataka'!$P$3:$P$575,"=37")+SUMIFS('Unos rashoda P4'!$J$3:$J$501,'Unos rashoda P4'!$A$3:$A$501,"=573",'Unos rashoda P4'!$S$3:$S$501,"=37")</f>
        <v>0</v>
      </c>
      <c r="P136" s="74">
        <f>SUMIFS('Unos rashoda i izdataka'!$L$3:$L$575,'Unos rashoda i izdataka'!$C$3:$C$575,"=575",'Unos rashoda i izdataka'!$P$3:$P$575,"=37")+SUMIFS('Unos rashoda P4'!$J$3:$J$501,'Unos rashoda P4'!$A$3:$A$501,"=575",'Unos rashoda P4'!$S$3:$S$501,"=37")</f>
        <v>0</v>
      </c>
      <c r="Q136" s="74">
        <f>SUMIFS('Unos rashoda i izdataka'!$L$3:$L$575,'Unos rashoda i izdataka'!$Q$3:$Q$575,"=576",'Unos rashoda i izdataka'!$P$3:$P$575,"=37")+SUMIFS('Unos rashoda P4'!$J$3:$J$501,'Unos rashoda P4'!$A$3:$A$501,"=576",'Unos rashoda P4'!$S$3:$S$501,"=37")</f>
        <v>0</v>
      </c>
      <c r="R136" s="74">
        <f>SUMIFS('Unos rashoda i izdataka'!$L$3:$L$575,'Unos rashoda i izdataka'!$C$3:$C$575,"=581",'Unos rashoda i izdataka'!$P$3:$P$575,"=37")+SUMIFS('Unos rashoda P4'!$J$3:$J$501,'Unos rashoda P4'!$A$3:$A$501,"=581",'Unos rashoda P4'!$S$3:$S$501,"=37")</f>
        <v>0</v>
      </c>
      <c r="S136" s="74">
        <f>SUMIFS('Unos rashoda i izdataka'!$L$3:$L$575,'Unos rashoda i izdataka'!$C$3:$C$575,"=61",'Unos rashoda i izdataka'!$P$3:$P$575,"=37")+SUMIFS('Unos rashoda P4'!$J$3:$J$501,'Unos rashoda P4'!$A$3:$A$501,"=61",'Unos rashoda P4'!$S$3:$S$501,"=37")</f>
        <v>0</v>
      </c>
      <c r="T136" s="74">
        <f>SUMIFS('Unos rashoda i izdataka'!$L$3:$L$575,'Unos rashoda i izdataka'!$C$3:$C$575,"=63",'Unos rashoda i izdataka'!$P$3:$P$575,"=37")+SUMIFS('Unos rashoda P4'!$J$3:$J$501,'Unos rashoda P4'!$A$3:$A$501,"=63",'Unos rashoda P4'!$S$3:$S$501,"=37")</f>
        <v>0</v>
      </c>
      <c r="U136" s="74">
        <f>SUMIFS('Unos rashoda i izdataka'!$L$3:$L$575,'Unos rashoda i izdataka'!$C$3:$C$575,"=71",'Unos rashoda i izdataka'!$P$3:$P$575,"=37")+SUMIFS('Unos rashoda P4'!$J$3:$J$501,'Unos rashoda P4'!$A$3:$A$501,"=71",'Unos rashoda P4'!$S$3:$S$501,"=37")</f>
        <v>0</v>
      </c>
      <c r="V136" s="74">
        <f>SUMIFS('Unos rashoda i izdataka'!$L$3:$L$575,'Unos rashoda i izdataka'!$C$3:$C$575,"=81",'Unos rashoda i izdataka'!$P$3:$P$575,"=37")+SUMIFS('Unos rashoda P4'!$J$3:$J$501,'Unos rashoda P4'!$A$3:$A$501,"=81",'Unos rashoda P4'!$S$3:$S$501,"=37")</f>
        <v>0</v>
      </c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</row>
    <row r="137" spans="1:262" s="13" customFormat="1" ht="12.6" customHeight="1">
      <c r="A137" s="334">
        <v>372</v>
      </c>
      <c r="B137" s="10" t="s">
        <v>5286</v>
      </c>
      <c r="C137" s="71">
        <f t="shared" si="26"/>
        <v>6501.2199999999993</v>
      </c>
      <c r="D137" s="74"/>
      <c r="E137" s="74"/>
      <c r="F137" s="74"/>
      <c r="G137" s="74"/>
      <c r="H137" s="74">
        <f>SUM(H138)</f>
        <v>6151.13</v>
      </c>
      <c r="I137" s="74"/>
      <c r="J137" s="74">
        <f>SUM(J138)</f>
        <v>350.08999999999969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</row>
    <row r="138" spans="1:262" s="13" customFormat="1" ht="12.6" customHeight="1">
      <c r="A138" s="334">
        <v>3721</v>
      </c>
      <c r="B138" s="10" t="s">
        <v>5287</v>
      </c>
      <c r="C138" s="71">
        <f t="shared" si="26"/>
        <v>6501.2199999999993</v>
      </c>
      <c r="D138" s="74"/>
      <c r="E138" s="74"/>
      <c r="F138" s="74"/>
      <c r="G138" s="74"/>
      <c r="H138" s="74">
        <v>6151.13</v>
      </c>
      <c r="I138" s="74"/>
      <c r="J138" s="74">
        <v>350.08999999999969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</row>
    <row r="139" spans="1:262" s="13" customFormat="1" ht="12.6" customHeight="1">
      <c r="A139" s="334">
        <v>38</v>
      </c>
      <c r="B139" s="10" t="s">
        <v>202</v>
      </c>
      <c r="C139" s="71">
        <f t="shared" si="26"/>
        <v>150</v>
      </c>
      <c r="D139" s="74">
        <f>SUMIFS('Unos rashoda i izdataka'!$L$3:$L$575,'Unos rashoda i izdataka'!$C$3:$C$575,"=11",'Unos rashoda i izdataka'!$P$3:$P$575,"=38")+SUMIFS('Unos rashoda P4'!$J$3:$J$501,'Unos rashoda P4'!$A$3:$A$501,"=11",'Unos rashoda P4'!$S$3:$S$501,"=38")</f>
        <v>0</v>
      </c>
      <c r="E139" s="74">
        <f>SUMIFS('Unos rashoda i izdataka'!$L$3:$L$575,'Unos rashoda i izdataka'!$C$3:$C$575,"=12",'Unos rashoda i izdataka'!$P$3:$P$575,"=38")+SUMIFS('Unos rashoda P4'!$J$3:$J$501,'Unos rashoda P4'!$A$3:$A$501,"=12",'Unos rashoda P4'!$S$3:$S$501,"=38")</f>
        <v>0</v>
      </c>
      <c r="F139" s="74">
        <f>SUMIFS('Unos rashoda i izdataka'!$L$3:$L$575,'Unos rashoda i izdataka'!$C$3:$C$575,"=31",'Unos rashoda i izdataka'!$P$3:$P$575,"=38")+SUMIFS('Unos rashoda P4'!$J$3:$J$501,'Unos rashoda P4'!$A$3:$A$501,"=31",'Unos rashoda P4'!$S$3:$S$501,"=38")</f>
        <v>150</v>
      </c>
      <c r="G139" s="74">
        <f>SUMIFS('Unos rashoda i izdataka'!$L$3:$L$575,'Unos rashoda i izdataka'!$C$3:$C$575,"=41",'Unos rashoda i izdataka'!$P$3:$P$575,"=38")+SUMIFS('Unos rashoda P4'!$J$3:$J$501,'Unos rashoda P4'!$A$3:$A$501,"=41",'Unos rashoda P4'!$S$3:$S$501,"=38")</f>
        <v>0</v>
      </c>
      <c r="H139" s="74">
        <f>SUMIFS('Unos rashoda i izdataka'!$L$3:$L$575,'Unos rashoda i izdataka'!$C$3:$C$575,"=43",'Unos rashoda i izdataka'!$P$3:$P$575,"=38")+SUMIFS('Unos rashoda P4'!$J$3:$J$501,'Unos rashoda P4'!$A$3:$A$501,"=43",'Unos rashoda P4'!$S$3:$S$501,"=38")</f>
        <v>0</v>
      </c>
      <c r="I139" s="74">
        <f>SUMIFS('Unos rashoda i izdataka'!$L$3:$L$575,'Unos rashoda i izdataka'!$C$3:$C$575,"=51",'Unos rashoda i izdataka'!$P$3:$P$575,"=38")+SUMIFS('Unos rashoda P4'!$J$3:$J$501,'Unos rashoda P4'!$A$3:$A$501,"=51",'Unos rashoda P4'!$S$3:$S$501,"=38")</f>
        <v>0</v>
      </c>
      <c r="J139" s="74">
        <f>SUMIFS('Unos rashoda i izdataka'!$L$3:$L$575,'Unos rashoda i izdataka'!$C$3:$C$575,"=52",'Unos rashoda i izdataka'!$P$3:$P$575,"=38")+SUMIFS('Unos rashoda P4'!$J$3:$J$501,'Unos rashoda P4'!$A$3:$A$501,"=52",'Unos rashoda P4'!$S$3:$S$501,"=38")</f>
        <v>0</v>
      </c>
      <c r="K139" s="74">
        <f>SUMIFS('Unos rashoda i izdataka'!$L$3:$L$575,'Unos rashoda i izdataka'!$C$3:$C$575,"=552",'Unos rashoda i izdataka'!$P$3:$P$575,"=38")+SUMIFS('Unos rashoda P4'!$J$3:$J$501,'Unos rashoda P4'!$A$3:$A$501,"=552",'Unos rashoda P4'!$S$3:$S$501,"=38")</f>
        <v>0</v>
      </c>
      <c r="L139" s="74">
        <f>SUMIFS('Unos rashoda i izdataka'!$L$3:$L$575,'Unos rashoda i izdataka'!$C$3:$C$575,"=559",'Unos rashoda i izdataka'!$P$3:$P$575,"=38")+SUMIFS('Unos rashoda P4'!$J$3:$J$501,'Unos rashoda P4'!$A$3:$A$501,"=559",'Unos rashoda P4'!$S$3:$S$501,"=38")</f>
        <v>0</v>
      </c>
      <c r="M139" s="74">
        <f>SUMIFS('Unos rashoda i izdataka'!$L$3:$L$575,'Unos rashoda i izdataka'!$C$3:$C$575,"=561",'Unos rashoda i izdataka'!$P$3:$P$575,"=38")+SUMIFS('Unos rashoda P4'!$J$3:$J$501,'Unos rashoda P4'!$A$3:$A$501,"=561",'Unos rashoda P4'!$S$3:$S$501,"=38")</f>
        <v>0</v>
      </c>
      <c r="N139" s="74">
        <f>SUMIFS('Unos rashoda i izdataka'!$L$3:$L$575,'Unos rashoda i izdataka'!$C$3:$C$575,"=563",'Unos rashoda i izdataka'!$P$3:$P$575,"=38")+SUMIFS('Unos rashoda P4'!$J$3:$J$501,'Unos rashoda P4'!$A$3:$A$501,"=563",'Unos rashoda P4'!$S$3:$S$501,"=38")</f>
        <v>0</v>
      </c>
      <c r="O139" s="74">
        <f>SUMIFS('Unos rashoda i izdataka'!$L$3:$L$575,'Unos rashoda i izdataka'!$C$3:$C$575,"=573",'Unos rashoda i izdataka'!$P$3:$P$575,"=38")+SUMIFS('Unos rashoda P4'!$J$3:$J$501,'Unos rashoda P4'!$A$3:$A$501,"=573",'Unos rashoda P4'!$S$3:$S$501,"=38")</f>
        <v>0</v>
      </c>
      <c r="P139" s="74">
        <f>SUMIFS('Unos rashoda i izdataka'!$L$3:$L$575,'Unos rashoda i izdataka'!$C$3:$C$575,"=575",'Unos rashoda i izdataka'!$P$3:$P$575,"=38")+SUMIFS('Unos rashoda P4'!$J$3:$J$501,'Unos rashoda P4'!$A$3:$A$501,"=575",'Unos rashoda P4'!$S$3:$S$501,"=38")</f>
        <v>0</v>
      </c>
      <c r="Q139" s="74">
        <f>SUMIFS('Unos rashoda i izdataka'!$L$3:$L$575,'Unos rashoda i izdataka'!$Q$3:$Q$575,"=576",'Unos rashoda i izdataka'!$P$3:$P$575,"=38")+SUMIFS('Unos rashoda P4'!$J$3:$J$501,'Unos rashoda P4'!$A$3:$A$501,"=576",'Unos rashoda P4'!$S$3:$S$501,"=38")</f>
        <v>0</v>
      </c>
      <c r="R139" s="74">
        <f>SUMIFS('Unos rashoda i izdataka'!$L$3:$L$575,'Unos rashoda i izdataka'!$C$3:$C$575,"=581",'Unos rashoda i izdataka'!$P$3:$P$575,"=38")+SUMIFS('Unos rashoda P4'!$J$3:$J$501,'Unos rashoda P4'!$A$3:$A$501,"=581",'Unos rashoda P4'!$S$3:$S$501,"=38")</f>
        <v>0</v>
      </c>
      <c r="S139" s="74">
        <f>SUMIFS('Unos rashoda i izdataka'!$L$3:$L$575,'Unos rashoda i izdataka'!$C$3:$C$575,"=61",'Unos rashoda i izdataka'!$P$3:$P$575,"=38")+SUMIFS('Unos rashoda P4'!$J$3:$J$501,'Unos rashoda P4'!$A$3:$A$501,"=61",'Unos rashoda P4'!$S$3:$S$501,"=38")</f>
        <v>0</v>
      </c>
      <c r="T139" s="74">
        <f>SUMIFS('Unos rashoda i izdataka'!$L$3:$L$575,'Unos rashoda i izdataka'!$C$3:$C$575,"=63",'Unos rashoda i izdataka'!$P$3:$P$575,"=38")+SUMIFS('Unos rashoda P4'!$J$3:$J$501,'Unos rashoda P4'!$A$3:$A$501,"=63",'Unos rashoda P4'!$S$3:$S$501,"=38")</f>
        <v>0</v>
      </c>
      <c r="U139" s="74">
        <f>SUMIFS('Unos rashoda i izdataka'!$L$3:$L$575,'Unos rashoda i izdataka'!$C$3:$C$575,"=71",'Unos rashoda i izdataka'!$P$3:$P$575,"=38")+SUMIFS('Unos rashoda P4'!$J$3:$J$501,'Unos rashoda P4'!$A$3:$A$501,"=71",'Unos rashoda P4'!$S$3:$S$501,"=38")</f>
        <v>0</v>
      </c>
      <c r="V139" s="74">
        <f>SUMIFS('Unos rashoda i izdataka'!$L$3:$L$575,'Unos rashoda i izdataka'!$C$3:$C$575,"=81",'Unos rashoda i izdataka'!$P$3:$P$575,"=38")+SUMIFS('Unos rashoda P4'!$J$3:$J$501,'Unos rashoda P4'!$A$3:$A$501,"=81",'Unos rashoda P4'!$S$3:$S$501,"=38")</f>
        <v>0</v>
      </c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</row>
    <row r="140" spans="1:262" s="13" customFormat="1" ht="12.6" customHeight="1">
      <c r="A140" s="334">
        <v>381</v>
      </c>
      <c r="B140" s="10" t="s">
        <v>5288</v>
      </c>
      <c r="C140" s="71">
        <f t="shared" si="26"/>
        <v>150</v>
      </c>
      <c r="D140" s="74"/>
      <c r="E140" s="74"/>
      <c r="F140" s="74">
        <f>SUM(F141)</f>
        <v>150</v>
      </c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X140" s="36"/>
      <c r="IY140" s="36"/>
      <c r="IZ140" s="36"/>
      <c r="JA140" s="36"/>
      <c r="JB140" s="36"/>
    </row>
    <row r="141" spans="1:262" s="13" customFormat="1" ht="12.6" customHeight="1">
      <c r="A141" s="334">
        <v>3811</v>
      </c>
      <c r="B141" s="10" t="s">
        <v>55</v>
      </c>
      <c r="C141" s="71">
        <f t="shared" si="26"/>
        <v>150</v>
      </c>
      <c r="D141" s="74"/>
      <c r="E141" s="74"/>
      <c r="F141" s="74">
        <v>150</v>
      </c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X141" s="36"/>
      <c r="IY141" s="36"/>
      <c r="IZ141" s="36"/>
      <c r="JA141" s="36"/>
      <c r="JB141" s="36"/>
    </row>
    <row r="142" spans="1:262" s="14" customFormat="1" ht="12.6" customHeight="1">
      <c r="A142" s="335">
        <v>4</v>
      </c>
      <c r="B142" s="67" t="s">
        <v>203</v>
      </c>
      <c r="C142" s="66">
        <f t="shared" si="26"/>
        <v>2123620.15</v>
      </c>
      <c r="D142" s="69">
        <f t="shared" ref="D142:V142" si="30">+D143+D144+D155+D156+D157</f>
        <v>0</v>
      </c>
      <c r="E142" s="69">
        <f t="shared" si="30"/>
        <v>0</v>
      </c>
      <c r="F142" s="69">
        <f t="shared" si="30"/>
        <v>577.96</v>
      </c>
      <c r="G142" s="69">
        <f t="shared" si="30"/>
        <v>0</v>
      </c>
      <c r="H142" s="69">
        <f t="shared" si="30"/>
        <v>1081.5000000000005</v>
      </c>
      <c r="I142" s="69">
        <f t="shared" si="30"/>
        <v>0</v>
      </c>
      <c r="J142" s="69">
        <f t="shared" si="30"/>
        <v>1073.0899999999999</v>
      </c>
      <c r="K142" s="69">
        <f t="shared" si="30"/>
        <v>0</v>
      </c>
      <c r="L142" s="69">
        <f t="shared" si="30"/>
        <v>0</v>
      </c>
      <c r="M142" s="69">
        <f t="shared" si="30"/>
        <v>0</v>
      </c>
      <c r="N142" s="69">
        <f t="shared" si="30"/>
        <v>2120887.6</v>
      </c>
      <c r="O142" s="69">
        <f t="shared" si="30"/>
        <v>0</v>
      </c>
      <c r="P142" s="69">
        <f t="shared" si="30"/>
        <v>0</v>
      </c>
      <c r="Q142" s="69">
        <f t="shared" si="30"/>
        <v>0</v>
      </c>
      <c r="R142" s="69">
        <f t="shared" si="30"/>
        <v>0</v>
      </c>
      <c r="S142" s="69">
        <f t="shared" si="30"/>
        <v>0</v>
      </c>
      <c r="T142" s="69">
        <f t="shared" si="30"/>
        <v>0</v>
      </c>
      <c r="U142" s="69">
        <f t="shared" si="30"/>
        <v>0</v>
      </c>
      <c r="V142" s="69">
        <f t="shared" si="30"/>
        <v>0</v>
      </c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9" customFormat="1" ht="12.6" customHeight="1">
      <c r="A143" s="333">
        <v>41</v>
      </c>
      <c r="B143" s="8" t="s">
        <v>254</v>
      </c>
      <c r="C143" s="71">
        <f t="shared" si="26"/>
        <v>0</v>
      </c>
      <c r="D143" s="74">
        <f>SUMIFS('Unos rashoda i izdataka'!$L$3:$L$575,'Unos rashoda i izdataka'!$C$3:$C$575,"=11",'Unos rashoda i izdataka'!$P$3:$P$575,"=41")+SUMIFS('Unos rashoda P4'!$J$3:$J$501,'Unos rashoda P4'!$A$3:$A$501,"=11",'Unos rashoda P4'!$S$3:$S$501,"=41")</f>
        <v>0</v>
      </c>
      <c r="E143" s="74">
        <f>SUMIFS('Unos rashoda i izdataka'!$L$3:$L$575,'Unos rashoda i izdataka'!$C$3:$C$575,"=12",'Unos rashoda i izdataka'!$P$3:$P$575,"=41")+SUMIFS('Unos rashoda P4'!$J$3:$J$501,'Unos rashoda P4'!$A$3:$A$501,"=12",'Unos rashoda P4'!$S$3:$S$501,"=41")</f>
        <v>0</v>
      </c>
      <c r="F143" s="74">
        <f>SUMIFS('Unos rashoda i izdataka'!$L$3:$L$575,'Unos rashoda i izdataka'!$C$3:$C$575,"=31",'Unos rashoda i izdataka'!$P$3:$P$575,"=41")+SUMIFS('Unos rashoda P4'!$J$3:$J$501,'Unos rashoda P4'!$A$3:$A$501,"=31",'Unos rashoda P4'!$S$3:$S$501,"=41")</f>
        <v>0</v>
      </c>
      <c r="G143" s="74">
        <f>SUMIFS('Unos rashoda i izdataka'!$L$3:$L$575,'Unos rashoda i izdataka'!$C$3:$C$575,"=41",'Unos rashoda i izdataka'!$P$3:$P$575,"=41")+SUMIFS('Unos rashoda P4'!$J$3:$J$501,'Unos rashoda P4'!$A$3:$A$501,"=41",'Unos rashoda P4'!$S$3:$S$501,"=41")</f>
        <v>0</v>
      </c>
      <c r="H143" s="74">
        <f>SUMIFS('Unos rashoda i izdataka'!$L$3:$L$575,'Unos rashoda i izdataka'!$C$3:$C$575,"=43",'Unos rashoda i izdataka'!$P$3:$P$575,"=41")+SUMIFS('Unos rashoda P4'!$J$3:$J$501,'Unos rashoda P4'!$A$3:$A$501,"=43",'Unos rashoda P4'!$S$3:$S$501,"=41")</f>
        <v>0</v>
      </c>
      <c r="I143" s="74">
        <f>SUMIFS('Unos rashoda i izdataka'!$L$3:$L$575,'Unos rashoda i izdataka'!$C$3:$C$575,"=51",'Unos rashoda i izdataka'!$P$3:$P$575,"=41")+SUMIFS('Unos rashoda P4'!$J$3:$J$501,'Unos rashoda P4'!$A$3:$A$501,"=51",'Unos rashoda P4'!$S$3:$S$501,"=41")</f>
        <v>0</v>
      </c>
      <c r="J143" s="74">
        <f>SUMIFS('Unos rashoda i izdataka'!$L$3:$L$575,'Unos rashoda i izdataka'!$C$3:$C$575,"=52",'Unos rashoda i izdataka'!$P$3:$P$575,"=41")+SUMIFS('Unos rashoda P4'!$J$3:$J$501,'Unos rashoda P4'!$A$3:$A$501,"=52",'Unos rashoda P4'!$S$3:$S$501,"=41")</f>
        <v>0</v>
      </c>
      <c r="K143" s="74">
        <f>SUMIFS('Unos rashoda i izdataka'!$L$3:$L$575,'Unos rashoda i izdataka'!$C$3:$C$575,"=552",'Unos rashoda i izdataka'!$P$3:$P$575,"=41")+SUMIFS('Unos rashoda P4'!$J$3:$J$501,'Unos rashoda P4'!$A$3:$A$501,"=552",'Unos rashoda P4'!$S$3:$S$501,"=41")</f>
        <v>0</v>
      </c>
      <c r="L143" s="74">
        <f>SUMIFS('Unos rashoda i izdataka'!$L$3:$L$575,'Unos rashoda i izdataka'!$C$3:$C$575,"=559",'Unos rashoda i izdataka'!$P$3:$P$575,"=41")+SUMIFS('Unos rashoda P4'!$J$3:$J$501,'Unos rashoda P4'!$A$3:$A$501,"=559",'Unos rashoda P4'!$S$3:$S$501,"=41")</f>
        <v>0</v>
      </c>
      <c r="M143" s="74">
        <f>SUMIFS('Unos rashoda i izdataka'!$L$3:$L$575,'Unos rashoda i izdataka'!$C$3:$C$575,"=561",'Unos rashoda i izdataka'!$P$3:$P$575,"=41")+SUMIFS('Unos rashoda P4'!$J$3:$J$501,'Unos rashoda P4'!$A$3:$A$501,"=561",'Unos rashoda P4'!$S$3:$S$501,"=41")</f>
        <v>0</v>
      </c>
      <c r="N143" s="74">
        <f>SUMIFS('Unos rashoda i izdataka'!$L$3:$L$575,'Unos rashoda i izdataka'!$C$3:$C$575,"=563",'Unos rashoda i izdataka'!$P$3:$P$575,"=41")+SUMIFS('Unos rashoda P4'!$J$3:$J$501,'Unos rashoda P4'!$A$3:$A$501,"=563",'Unos rashoda P4'!$S$3:$S$501,"=41")</f>
        <v>0</v>
      </c>
      <c r="O143" s="74">
        <f>SUMIFS('Unos rashoda i izdataka'!$L$3:$L$575,'Unos rashoda i izdataka'!$C$3:$C$575,"=573",'Unos rashoda i izdataka'!$P$3:$P$575,"=41")+SUMIFS('Unos rashoda P4'!$J$3:$J$501,'Unos rashoda P4'!$A$3:$A$501,"=573",'Unos rashoda P4'!$S$3:$S$501,"=41")</f>
        <v>0</v>
      </c>
      <c r="P143" s="74">
        <f>SUMIFS('Unos rashoda i izdataka'!$L$3:$L$575,'Unos rashoda i izdataka'!$C$3:$C$575,"=575",'Unos rashoda i izdataka'!$P$3:$P$575,"=41")+SUMIFS('Unos rashoda P4'!$J$3:$J$501,'Unos rashoda P4'!$A$3:$A$501,"=575",'Unos rashoda P4'!$S$3:$S$501,"=41")</f>
        <v>0</v>
      </c>
      <c r="Q143" s="74">
        <f>SUMIFS('Unos rashoda i izdataka'!$L$3:$L$575,'Unos rashoda i izdataka'!$Q$3:$Q$575,"=576",'Unos rashoda i izdataka'!$P$3:$P$575,"=41")+SUMIFS('Unos rashoda P4'!$J$3:$J$501,'Unos rashoda P4'!$A$3:$A$501,"=576",'Unos rashoda P4'!$S$3:$S$501,"=41")</f>
        <v>0</v>
      </c>
      <c r="R143" s="74">
        <f>SUMIFS('Unos rashoda i izdataka'!$L$3:$L$575,'Unos rashoda i izdataka'!$C$3:$C$575,"=581",'Unos rashoda i izdataka'!$P$3:$P$575,"=41")+SUMIFS('Unos rashoda P4'!$J$3:$J$501,'Unos rashoda P4'!$A$3:$A$501,"=581",'Unos rashoda P4'!$S$3:$S$501,"=41")</f>
        <v>0</v>
      </c>
      <c r="S143" s="74">
        <f>SUMIFS('Unos rashoda i izdataka'!$L$3:$L$575,'Unos rashoda i izdataka'!$C$3:$C$575,"=61",'Unos rashoda i izdataka'!$P$3:$P$575,"=41")+SUMIFS('Unos rashoda P4'!$J$3:$J$501,'Unos rashoda P4'!$A$3:$A$501,"=61",'Unos rashoda P4'!$S$3:$S$501,"=41")</f>
        <v>0</v>
      </c>
      <c r="T143" s="74">
        <f>SUMIFS('Unos rashoda i izdataka'!$L$3:$L$575,'Unos rashoda i izdataka'!$C$3:$C$575,"=63",'Unos rashoda i izdataka'!$P$3:$P$575,"=41")+SUMIFS('Unos rashoda P4'!$J$3:$J$501,'Unos rashoda P4'!$A$3:$A$501,"=63",'Unos rashoda P4'!$S$3:$S$501,"=41")</f>
        <v>0</v>
      </c>
      <c r="U143" s="74">
        <f>SUMIFS('Unos rashoda i izdataka'!$L$3:$L$575,'Unos rashoda i izdataka'!$C$3:$C$575,"=71",'Unos rashoda i izdataka'!$P$3:$P$575,"=41")+SUMIFS('Unos rashoda P4'!$J$3:$J$501,'Unos rashoda P4'!$A$3:$A$501,"=71",'Unos rashoda P4'!$S$3:$S$501,"=41")</f>
        <v>0</v>
      </c>
      <c r="V143" s="74">
        <f>SUMIFS('Unos rashoda i izdataka'!$L$3:$L$575,'Unos rashoda i izdataka'!$C$3:$C$575,"=81",'Unos rashoda i izdataka'!$P$3:$P$575,"=41")+SUMIFS('Unos rashoda P4'!$J$3:$J$501,'Unos rashoda P4'!$A$3:$A$501,"=81",'Unos rashoda P4'!$S$3:$S$501,"=41")</f>
        <v>0</v>
      </c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  <c r="IX143" s="36"/>
      <c r="IY143" s="36"/>
      <c r="IZ143" s="36"/>
      <c r="JA143" s="36"/>
      <c r="JB143" s="36"/>
    </row>
    <row r="144" spans="1:262" s="13" customFormat="1" ht="12.6" customHeight="1">
      <c r="A144" s="334">
        <v>42</v>
      </c>
      <c r="B144" s="10" t="s">
        <v>231</v>
      </c>
      <c r="C144" s="71">
        <f t="shared" si="26"/>
        <v>2123620.15</v>
      </c>
      <c r="D144" s="74">
        <f>SUMIFS('Unos rashoda i izdataka'!$L$3:$L$575,'Unos rashoda i izdataka'!$C$3:$C$575,"=11",'Unos rashoda i izdataka'!$P$3:$P$575,"=42")+SUMIFS('Unos rashoda P4'!$J$3:$J$501,'Unos rashoda P4'!$A$3:$A$501,"=11",'Unos rashoda P4'!$S$3:$S$501,"=42")</f>
        <v>0</v>
      </c>
      <c r="E144" s="74">
        <f>SUMIFS('Unos rashoda i izdataka'!$L$3:$L$575,'Unos rashoda i izdataka'!$C$3:$C$575,"=12",'Unos rashoda i izdataka'!$P$3:$P$575,"=42")+SUMIFS('Unos rashoda P4'!$J$3:$J$501,'Unos rashoda P4'!$A$3:$A$501,"=12",'Unos rashoda P4'!$S$3:$S$501,"=42")</f>
        <v>0</v>
      </c>
      <c r="F144" s="74">
        <f>SUMIFS('Unos rashoda i izdataka'!$L$3:$L$575,'Unos rashoda i izdataka'!$C$3:$C$575,"=31",'Unos rashoda i izdataka'!$P$3:$P$575,"=42")+SUMIFS('Unos rashoda P4'!$J$3:$J$501,'Unos rashoda P4'!$A$3:$A$501,"=31",'Unos rashoda P4'!$S$3:$S$501,"=42")</f>
        <v>577.96</v>
      </c>
      <c r="G144" s="74">
        <f>SUMIFS('Unos rashoda i izdataka'!$L$3:$L$575,'Unos rashoda i izdataka'!$C$3:$C$575,"=41",'Unos rashoda i izdataka'!$P$3:$P$575,"=42")+SUMIFS('Unos rashoda P4'!$J$3:$J$501,'Unos rashoda P4'!$A$3:$A$501,"=41",'Unos rashoda P4'!$S$3:$S$501,"=42")</f>
        <v>0</v>
      </c>
      <c r="H144" s="74">
        <f>SUMIFS('Unos rashoda i izdataka'!$L$3:$L$575,'Unos rashoda i izdataka'!$C$3:$C$575,"=43",'Unos rashoda i izdataka'!$P$3:$P$575,"=42")+SUMIFS('Unos rashoda P4'!$J$3:$J$501,'Unos rashoda P4'!$A$3:$A$501,"=43",'Unos rashoda P4'!$S$3:$S$501,"=42")</f>
        <v>1081.5000000000005</v>
      </c>
      <c r="I144" s="74">
        <f>SUMIFS('Unos rashoda i izdataka'!$L$3:$L$575,'Unos rashoda i izdataka'!$C$3:$C$575,"=51",'Unos rashoda i izdataka'!$P$3:$P$575,"=42")+SUMIFS('Unos rashoda P4'!$J$3:$J$501,'Unos rashoda P4'!$A$3:$A$501,"=51",'Unos rashoda P4'!$S$3:$S$501,"=42")</f>
        <v>0</v>
      </c>
      <c r="J144" s="74">
        <f>SUMIFS('Unos rashoda i izdataka'!$L$3:$L$575,'Unos rashoda i izdataka'!$C$3:$C$575,"=52",'Unos rashoda i izdataka'!$P$3:$P$575,"=42")+SUMIFS('Unos rashoda P4'!$J$3:$J$501,'Unos rashoda P4'!$A$3:$A$501,"=52",'Unos rashoda P4'!$S$3:$S$501,"=42")</f>
        <v>1073.0899999999999</v>
      </c>
      <c r="K144" s="74">
        <f>SUMIFS('Unos rashoda i izdataka'!$L$3:$L$575,'Unos rashoda i izdataka'!$C$3:$C$575,"=552",'Unos rashoda i izdataka'!$P$3:$P$575,"=42")+SUMIFS('Unos rashoda P4'!$J$3:$J$501,'Unos rashoda P4'!$A$3:$A$501,"=552",'Unos rashoda P4'!$S$3:$S$501,"=42")</f>
        <v>0</v>
      </c>
      <c r="L144" s="74">
        <f>SUMIFS('Unos rashoda i izdataka'!$L$3:$L$575,'Unos rashoda i izdataka'!$C$3:$C$575,"=559",'Unos rashoda i izdataka'!$P$3:$P$575,"=42")+SUMIFS('Unos rashoda P4'!$J$3:$J$501,'Unos rashoda P4'!$A$3:$A$501,"=559",'Unos rashoda P4'!$S$3:$S$501,"=42")</f>
        <v>0</v>
      </c>
      <c r="M144" s="74">
        <f>SUMIFS('Unos rashoda i izdataka'!$L$3:$L$575,'Unos rashoda i izdataka'!$C$3:$C$575,"=561",'Unos rashoda i izdataka'!$P$3:$P$575,"=42")+SUMIFS('Unos rashoda P4'!$J$3:$J$501,'Unos rashoda P4'!$A$3:$A$501,"=561",'Unos rashoda P4'!$S$3:$S$501,"=42")</f>
        <v>0</v>
      </c>
      <c r="N144" s="74">
        <f>SUMIFS('Unos rashoda i izdataka'!$L$3:$L$575,'Unos rashoda i izdataka'!$C$3:$C$575,"=563",'Unos rashoda i izdataka'!$P$3:$P$575,"=42")+SUMIFS('Unos rashoda P4'!$J$3:$J$501,'Unos rashoda P4'!$A$3:$A$501,"=563",'Unos rashoda P4'!$S$3:$S$501,"=42")</f>
        <v>2120887.6</v>
      </c>
      <c r="O144" s="74">
        <f>SUMIFS('Unos rashoda i izdataka'!$L$3:$L$575,'Unos rashoda i izdataka'!$C$3:$C$575,"=573",'Unos rashoda i izdataka'!$P$3:$P$575,"=42")+SUMIFS('Unos rashoda P4'!$J$3:$J$501,'Unos rashoda P4'!$A$3:$A$501,"=573",'Unos rashoda P4'!$S$3:$S$501,"=42")</f>
        <v>0</v>
      </c>
      <c r="P144" s="74">
        <f>SUMIFS('Unos rashoda i izdataka'!$L$3:$L$575,'Unos rashoda i izdataka'!$C$3:$C$575,"=575",'Unos rashoda i izdataka'!$P$3:$P$575,"=42")+SUMIFS('Unos rashoda P4'!$J$3:$J$501,'Unos rashoda P4'!$A$3:$A$501,"=575",'Unos rashoda P4'!$S$3:$S$501,"=42")</f>
        <v>0</v>
      </c>
      <c r="Q144" s="74">
        <f>SUMIFS('Unos rashoda i izdataka'!$L$3:$L$575,'Unos rashoda i izdataka'!$Q$3:$Q$575,"=576",'Unos rashoda i izdataka'!$P$3:$P$575,"=42")+SUMIFS('Unos rashoda P4'!$J$3:$J$501,'Unos rashoda P4'!$A$3:$A$501,"=576",'Unos rashoda P4'!$S$3:$S$501,"=42")</f>
        <v>0</v>
      </c>
      <c r="R144" s="74">
        <f>SUMIFS('Unos rashoda i izdataka'!$L$3:$L$575,'Unos rashoda i izdataka'!$C$3:$C$575,"=581",'Unos rashoda i izdataka'!$P$3:$P$575,"=42")+SUMIFS('Unos rashoda P4'!$J$3:$J$501,'Unos rashoda P4'!$A$3:$A$501,"=581",'Unos rashoda P4'!$S$3:$S$501,"=42")</f>
        <v>0</v>
      </c>
      <c r="S144" s="74">
        <f>SUMIFS('Unos rashoda i izdataka'!$L$3:$L$575,'Unos rashoda i izdataka'!$C$3:$C$575,"=61",'Unos rashoda i izdataka'!$P$3:$P$575,"=42")+SUMIFS('Unos rashoda P4'!$J$3:$J$501,'Unos rashoda P4'!$A$3:$A$501,"=61",'Unos rashoda P4'!$S$3:$S$501,"=42")</f>
        <v>0</v>
      </c>
      <c r="T144" s="74">
        <f>SUMIFS('Unos rashoda i izdataka'!$L$3:$L$575,'Unos rashoda i izdataka'!$C$3:$C$575,"=63",'Unos rashoda i izdataka'!$P$3:$P$575,"=42")+SUMIFS('Unos rashoda P4'!$J$3:$J$501,'Unos rashoda P4'!$A$3:$A$501,"=63",'Unos rashoda P4'!$S$3:$S$501,"=42")</f>
        <v>0</v>
      </c>
      <c r="U144" s="74">
        <f>SUMIFS('Unos rashoda i izdataka'!$L$3:$L$575,'Unos rashoda i izdataka'!$C$3:$C$575,"=71",'Unos rashoda i izdataka'!$P$3:$P$575,"=42")+SUMIFS('Unos rashoda P4'!$J$3:$J$501,'Unos rashoda P4'!$A$3:$A$501,"=71",'Unos rashoda P4'!$S$3:$S$501,"=42")</f>
        <v>0</v>
      </c>
      <c r="V144" s="74">
        <f>SUMIFS('Unos rashoda i izdataka'!$L$3:$L$575,'Unos rashoda i izdataka'!$C$3:$C$575,"=81",'Unos rashoda i izdataka'!$P$3:$P$575,"=42")+SUMIFS('Unos rashoda P4'!$J$3:$J$501,'Unos rashoda P4'!$A$3:$A$501,"=81",'Unos rashoda P4'!$S$3:$S$501,"=42")</f>
        <v>0</v>
      </c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  <c r="IX144" s="36"/>
      <c r="IY144" s="36"/>
      <c r="IZ144" s="36"/>
      <c r="JA144" s="36"/>
      <c r="JB144" s="36"/>
    </row>
    <row r="145" spans="1:262" s="13" customFormat="1" ht="12.6" customHeight="1">
      <c r="A145" s="334">
        <v>421</v>
      </c>
      <c r="B145" s="10" t="s">
        <v>5289</v>
      </c>
      <c r="C145" s="71">
        <f t="shared" si="26"/>
        <v>337492.74</v>
      </c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>
        <f>SUM(N146)</f>
        <v>337492.74</v>
      </c>
      <c r="O145" s="74"/>
      <c r="P145" s="74"/>
      <c r="Q145" s="74"/>
      <c r="R145" s="74"/>
      <c r="S145" s="74"/>
      <c r="T145" s="74"/>
      <c r="U145" s="74"/>
      <c r="V145" s="74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X145" s="36"/>
      <c r="IY145" s="36"/>
      <c r="IZ145" s="36"/>
      <c r="JA145" s="36"/>
      <c r="JB145" s="36"/>
    </row>
    <row r="146" spans="1:262" s="13" customFormat="1" ht="12.6" customHeight="1">
      <c r="A146" s="334">
        <v>4212</v>
      </c>
      <c r="B146" s="10" t="s">
        <v>60</v>
      </c>
      <c r="C146" s="71">
        <f t="shared" si="26"/>
        <v>337492.74</v>
      </c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>
        <v>337492.74</v>
      </c>
      <c r="O146" s="74"/>
      <c r="P146" s="74"/>
      <c r="Q146" s="74"/>
      <c r="R146" s="74"/>
      <c r="S146" s="74"/>
      <c r="T146" s="74"/>
      <c r="U146" s="74"/>
      <c r="V146" s="74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X146" s="36"/>
      <c r="IY146" s="36"/>
      <c r="IZ146" s="36"/>
      <c r="JA146" s="36"/>
      <c r="JB146" s="36"/>
    </row>
    <row r="147" spans="1:262" s="13" customFormat="1" ht="12.6" customHeight="1">
      <c r="A147" s="334">
        <v>422</v>
      </c>
      <c r="B147" s="10" t="s">
        <v>5290</v>
      </c>
      <c r="C147" s="71">
        <f t="shared" si="26"/>
        <v>229.45</v>
      </c>
      <c r="D147" s="74"/>
      <c r="E147" s="74"/>
      <c r="F147" s="74">
        <f>SUM(F148)</f>
        <v>229.45</v>
      </c>
      <c r="G147" s="74"/>
      <c r="H147" s="74"/>
      <c r="I147" s="74"/>
      <c r="J147" s="74"/>
      <c r="K147" s="74"/>
      <c r="L147" s="74"/>
      <c r="M147" s="74"/>
      <c r="N147" s="74">
        <f>SUM(N148)</f>
        <v>0</v>
      </c>
      <c r="O147" s="74"/>
      <c r="P147" s="74"/>
      <c r="Q147" s="74"/>
      <c r="R147" s="74"/>
      <c r="S147" s="74"/>
      <c r="T147" s="74"/>
      <c r="U147" s="74"/>
      <c r="V147" s="74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6"/>
      <c r="GL147" s="36"/>
      <c r="GM147" s="36"/>
      <c r="GN147" s="36"/>
      <c r="GO147" s="36"/>
      <c r="GP147" s="36"/>
      <c r="GQ147" s="36"/>
      <c r="GR147" s="36"/>
      <c r="GS147" s="36"/>
      <c r="GT147" s="36"/>
      <c r="GU147" s="36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  <c r="IV147" s="36"/>
      <c r="IW147" s="36"/>
      <c r="IX147" s="36"/>
      <c r="IY147" s="36"/>
      <c r="IZ147" s="36"/>
      <c r="JA147" s="36"/>
      <c r="JB147" s="36"/>
    </row>
    <row r="148" spans="1:262" s="13" customFormat="1" ht="12.6" customHeight="1">
      <c r="A148" s="334">
        <v>4221</v>
      </c>
      <c r="B148" s="10" t="s">
        <v>95</v>
      </c>
      <c r="C148" s="71">
        <f t="shared" si="26"/>
        <v>229.45</v>
      </c>
      <c r="D148" s="74"/>
      <c r="E148" s="74"/>
      <c r="F148" s="74">
        <v>229.45</v>
      </c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6"/>
      <c r="GL148" s="36"/>
      <c r="GM148" s="36"/>
      <c r="GN148" s="36"/>
      <c r="GO148" s="36"/>
      <c r="GP148" s="36"/>
      <c r="GQ148" s="36"/>
      <c r="GR148" s="36"/>
      <c r="GS148" s="36"/>
      <c r="GT148" s="36"/>
      <c r="GU148" s="36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  <c r="IV148" s="36"/>
      <c r="IW148" s="36"/>
      <c r="IX148" s="36"/>
      <c r="IY148" s="36"/>
      <c r="IZ148" s="36"/>
      <c r="JA148" s="36"/>
      <c r="JB148" s="36"/>
    </row>
    <row r="149" spans="1:262" s="13" customFormat="1" ht="12.6" customHeight="1">
      <c r="A149" s="334">
        <v>4222</v>
      </c>
      <c r="B149" s="10" t="s">
        <v>106</v>
      </c>
      <c r="C149" s="71">
        <f t="shared" si="26"/>
        <v>348.51</v>
      </c>
      <c r="D149" s="74"/>
      <c r="E149" s="74"/>
      <c r="F149" s="74">
        <v>348.51</v>
      </c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  <c r="IX149" s="36"/>
      <c r="IY149" s="36"/>
      <c r="IZ149" s="36"/>
      <c r="JA149" s="36"/>
      <c r="JB149" s="36"/>
    </row>
    <row r="150" spans="1:262" s="13" customFormat="1" ht="12.6" customHeight="1">
      <c r="A150" s="334">
        <v>4227</v>
      </c>
      <c r="B150" s="10" t="s">
        <v>129</v>
      </c>
      <c r="C150" s="71">
        <f t="shared" si="26"/>
        <v>1783394.86</v>
      </c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>
        <v>1783394.86</v>
      </c>
      <c r="O150" s="74"/>
      <c r="P150" s="74"/>
      <c r="Q150" s="74"/>
      <c r="R150" s="74"/>
      <c r="S150" s="74"/>
      <c r="T150" s="74"/>
      <c r="U150" s="74"/>
      <c r="V150" s="74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6"/>
      <c r="GL150" s="36"/>
      <c r="GM150" s="36"/>
      <c r="GN150" s="36"/>
      <c r="GO150" s="36"/>
      <c r="GP150" s="36"/>
      <c r="GQ150" s="36"/>
      <c r="GR150" s="36"/>
      <c r="GS150" s="36"/>
      <c r="GT150" s="36"/>
      <c r="GU150" s="36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  <c r="IV150" s="36"/>
      <c r="IW150" s="36"/>
      <c r="IX150" s="36"/>
      <c r="IY150" s="36"/>
      <c r="IZ150" s="36"/>
      <c r="JA150" s="36"/>
      <c r="JB150" s="36"/>
    </row>
    <row r="151" spans="1:262" s="13" customFormat="1" ht="12.6" customHeight="1">
      <c r="A151" s="334">
        <v>424</v>
      </c>
      <c r="B151" s="10" t="s">
        <v>5291</v>
      </c>
      <c r="C151" s="71">
        <f t="shared" si="26"/>
        <v>2154.59</v>
      </c>
      <c r="D151" s="74"/>
      <c r="E151" s="74"/>
      <c r="F151" s="74"/>
      <c r="G151" s="74">
        <f>SUM(G152)</f>
        <v>1081.5000000000005</v>
      </c>
      <c r="H151" s="74"/>
      <c r="I151" s="74">
        <f>SUM(I152)</f>
        <v>1073.0899999999999</v>
      </c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6"/>
      <c r="GL151" s="36"/>
      <c r="GM151" s="36"/>
      <c r="GN151" s="36"/>
      <c r="GO151" s="36"/>
      <c r="GP151" s="36"/>
      <c r="GQ151" s="36"/>
      <c r="GR151" s="36"/>
      <c r="GS151" s="36"/>
      <c r="GT151" s="36"/>
      <c r="GU151" s="36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  <c r="IV151" s="36"/>
      <c r="IW151" s="36"/>
      <c r="IX151" s="36"/>
      <c r="IY151" s="36"/>
      <c r="IZ151" s="36"/>
      <c r="JA151" s="36"/>
      <c r="JB151" s="36"/>
    </row>
    <row r="152" spans="1:262" s="13" customFormat="1" ht="12.6" customHeight="1">
      <c r="A152" s="334">
        <v>4241</v>
      </c>
      <c r="B152" s="10" t="s">
        <v>5292</v>
      </c>
      <c r="C152" s="71">
        <f t="shared" si="26"/>
        <v>2154.59</v>
      </c>
      <c r="D152" s="74"/>
      <c r="E152" s="74"/>
      <c r="F152" s="74"/>
      <c r="G152" s="74">
        <v>1081.5000000000005</v>
      </c>
      <c r="H152" s="74"/>
      <c r="I152" s="74">
        <v>1073.0899999999999</v>
      </c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X152" s="36"/>
      <c r="IY152" s="36"/>
      <c r="IZ152" s="36"/>
      <c r="JA152" s="36"/>
      <c r="JB152" s="36"/>
    </row>
    <row r="153" spans="1:262" s="13" customFormat="1" ht="12.6" customHeight="1">
      <c r="A153" s="334">
        <v>426</v>
      </c>
      <c r="B153" s="10" t="s">
        <v>5293</v>
      </c>
      <c r="C153" s="71">
        <f t="shared" si="26"/>
        <v>4827</v>
      </c>
      <c r="D153" s="74"/>
      <c r="E153" s="74"/>
      <c r="F153" s="74"/>
      <c r="G153" s="74"/>
      <c r="H153" s="74">
        <f>SUM(H154)</f>
        <v>4827</v>
      </c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  <c r="IX153" s="36"/>
      <c r="IY153" s="36"/>
      <c r="IZ153" s="36"/>
      <c r="JA153" s="36"/>
      <c r="JB153" s="36"/>
    </row>
    <row r="154" spans="1:262" s="13" customFormat="1" ht="12.6" customHeight="1">
      <c r="A154" s="334">
        <v>4262</v>
      </c>
      <c r="B154" s="10" t="s">
        <v>108</v>
      </c>
      <c r="C154" s="71">
        <f t="shared" si="26"/>
        <v>4827</v>
      </c>
      <c r="D154" s="74"/>
      <c r="E154" s="74"/>
      <c r="F154" s="74"/>
      <c r="G154" s="74"/>
      <c r="H154" s="74">
        <v>4827</v>
      </c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  <c r="IX154" s="36"/>
      <c r="IY154" s="36"/>
      <c r="IZ154" s="36"/>
      <c r="JA154" s="36"/>
      <c r="JB154" s="36"/>
    </row>
    <row r="155" spans="1:262" s="9" customFormat="1" ht="12.6" customHeight="1">
      <c r="A155" s="333">
        <v>43</v>
      </c>
      <c r="B155" s="8" t="s">
        <v>255</v>
      </c>
      <c r="C155" s="71">
        <f t="shared" si="26"/>
        <v>0</v>
      </c>
      <c r="D155" s="74">
        <f>SUMIFS('Unos rashoda i izdataka'!$L$3:$L$575,'Unos rashoda i izdataka'!$C$3:$C$575,"=11",'Unos rashoda i izdataka'!$P$3:$P$575,"=43")+SUMIFS('Unos rashoda P4'!$J$3:$J$501,'Unos rashoda P4'!$A$3:$A$501,"=11",'Unos rashoda P4'!$S$3:$S$501,"=43")</f>
        <v>0</v>
      </c>
      <c r="E155" s="74">
        <f>SUMIFS('Unos rashoda i izdataka'!$L$3:$L$575,'Unos rashoda i izdataka'!$C$3:$C$575,"=12",'Unos rashoda i izdataka'!$P$3:$P$575,"=43")+SUMIFS('Unos rashoda P4'!$J$3:$J$501,'Unos rashoda P4'!$A$3:$A$501,"=12",'Unos rashoda P4'!$S$3:$S$501,"=43")</f>
        <v>0</v>
      </c>
      <c r="F155" s="74">
        <f>SUMIFS('Unos rashoda i izdataka'!$L$3:$L$575,'Unos rashoda i izdataka'!$C$3:$C$575,"=31",'Unos rashoda i izdataka'!$P$3:$P$575,"=43")+SUMIFS('Unos rashoda P4'!$J$3:$J$501,'Unos rashoda P4'!$A$3:$A$501,"=31",'Unos rashoda P4'!$S$3:$S$501,"=43")</f>
        <v>0</v>
      </c>
      <c r="G155" s="74">
        <f>SUMIFS('Unos rashoda i izdataka'!$L$3:$L$575,'Unos rashoda i izdataka'!$C$3:$C$575,"=41",'Unos rashoda i izdataka'!$P$3:$P$575,"=43")+SUMIFS('Unos rashoda P4'!$J$3:$J$501,'Unos rashoda P4'!$A$3:$A$501,"=41",'Unos rashoda P4'!$S$3:$S$501,"=43")</f>
        <v>0</v>
      </c>
      <c r="H155" s="74">
        <f>SUMIFS('Unos rashoda i izdataka'!$L$3:$L$575,'Unos rashoda i izdataka'!$C$3:$C$575,"=43",'Unos rashoda i izdataka'!$P$3:$P$575,"=43")+SUMIFS('Unos rashoda P4'!$J$3:$J$501,'Unos rashoda P4'!$A$3:$A$501,"=43",'Unos rashoda P4'!$S$3:$S$501,"=43")</f>
        <v>0</v>
      </c>
      <c r="I155" s="74">
        <f>SUMIFS('Unos rashoda i izdataka'!$L$3:$L$575,'Unos rashoda i izdataka'!$C$3:$C$575,"=51",'Unos rashoda i izdataka'!$P$3:$P$575,"=43")+SUMIFS('Unos rashoda P4'!$J$3:$J$501,'Unos rashoda P4'!$A$3:$A$501,"=51",'Unos rashoda P4'!$S$3:$S$501,"=43")</f>
        <v>0</v>
      </c>
      <c r="J155" s="74">
        <f>SUMIFS('Unos rashoda i izdataka'!$L$3:$L$575,'Unos rashoda i izdataka'!$C$3:$C$575,"=52",'Unos rashoda i izdataka'!$P$3:$P$575,"=43")+SUMIFS('Unos rashoda P4'!$J$3:$J$501,'Unos rashoda P4'!$A$3:$A$501,"=52",'Unos rashoda P4'!$S$3:$S$501,"=43")</f>
        <v>0</v>
      </c>
      <c r="K155" s="74">
        <f>SUMIFS('Unos rashoda i izdataka'!$L$3:$L$575,'Unos rashoda i izdataka'!$C$3:$C$575,"=552",'Unos rashoda i izdataka'!$P$3:$P$575,"=43")+SUMIFS('Unos rashoda P4'!$J$3:$J$501,'Unos rashoda P4'!$A$3:$A$501,"=552",'Unos rashoda P4'!$S$3:$S$501,"=43")</f>
        <v>0</v>
      </c>
      <c r="L155" s="74">
        <f>SUMIFS('Unos rashoda i izdataka'!$L$3:$L$575,'Unos rashoda i izdataka'!$C$3:$C$575,"=559",'Unos rashoda i izdataka'!$P$3:$P$575,"=43")+SUMIFS('Unos rashoda P4'!$J$3:$J$501,'Unos rashoda P4'!$A$3:$A$501,"=559",'Unos rashoda P4'!$S$3:$S$501,"=43")</f>
        <v>0</v>
      </c>
      <c r="M155" s="74">
        <f>SUMIFS('Unos rashoda i izdataka'!$L$3:$L$575,'Unos rashoda i izdataka'!$C$3:$C$575,"=561",'Unos rashoda i izdataka'!$P$3:$P$575,"=43")+SUMIFS('Unos rashoda P4'!$J$3:$J$501,'Unos rashoda P4'!$A$3:$A$501,"=561",'Unos rashoda P4'!$S$3:$S$501,"=43")</f>
        <v>0</v>
      </c>
      <c r="N155" s="74">
        <f>SUMIFS('Unos rashoda i izdataka'!$L$3:$L$575,'Unos rashoda i izdataka'!$C$3:$C$575,"=563",'Unos rashoda i izdataka'!$P$3:$P$575,"=43")+SUMIFS('Unos rashoda P4'!$J$3:$J$501,'Unos rashoda P4'!$A$3:$A$501,"=563",'Unos rashoda P4'!$S$3:$S$501,"=43")</f>
        <v>0</v>
      </c>
      <c r="O155" s="74">
        <f>SUMIFS('Unos rashoda i izdataka'!$L$3:$L$575,'Unos rashoda i izdataka'!$C$3:$C$575,"=573",'Unos rashoda i izdataka'!$P$3:$P$575,"=43")+SUMIFS('Unos rashoda P4'!$J$3:$J$501,'Unos rashoda P4'!$A$3:$A$501,"=573",'Unos rashoda P4'!$S$3:$S$501,"=43")</f>
        <v>0</v>
      </c>
      <c r="P155" s="74">
        <f>SUMIFS('Unos rashoda i izdataka'!$L$3:$L$575,'Unos rashoda i izdataka'!$C$3:$C$575,"=575",'Unos rashoda i izdataka'!$P$3:$P$575,"=43")+SUMIFS('Unos rashoda P4'!$J$3:$J$501,'Unos rashoda P4'!$A$3:$A$501,"=575",'Unos rashoda P4'!$S$3:$S$501,"=43")</f>
        <v>0</v>
      </c>
      <c r="Q155" s="74">
        <f>SUMIFS('Unos rashoda i izdataka'!$L$3:$L$575,'Unos rashoda i izdataka'!$Q$3:$Q$575,"=576",'Unos rashoda i izdataka'!$P$3:$P$575,"=43")+SUMIFS('Unos rashoda P4'!$J$3:$J$501,'Unos rashoda P4'!$A$3:$A$501,"=576",'Unos rashoda P4'!$S$3:$S$501,"=43")</f>
        <v>0</v>
      </c>
      <c r="R155" s="74">
        <f>SUMIFS('Unos rashoda i izdataka'!$L$3:$L$575,'Unos rashoda i izdataka'!$C$3:$C$575,"=581",'Unos rashoda i izdataka'!$P$3:$P$575,"=43")+SUMIFS('Unos rashoda P4'!$J$3:$J$501,'Unos rashoda P4'!$A$3:$A$501,"=581",'Unos rashoda P4'!$S$3:$S$501,"=43")</f>
        <v>0</v>
      </c>
      <c r="S155" s="74">
        <f>SUMIFS('Unos rashoda i izdataka'!$L$3:$L$575,'Unos rashoda i izdataka'!$C$3:$C$575,"=61",'Unos rashoda i izdataka'!$P$3:$P$575,"=43")+SUMIFS('Unos rashoda P4'!$J$3:$J$501,'Unos rashoda P4'!$A$3:$A$501,"=61",'Unos rashoda P4'!$S$3:$S$501,"=43")</f>
        <v>0</v>
      </c>
      <c r="T155" s="74">
        <f>SUMIFS('Unos rashoda i izdataka'!$L$3:$L$575,'Unos rashoda i izdataka'!$C$3:$C$575,"=63",'Unos rashoda i izdataka'!$P$3:$P$575,"=43")+SUMIFS('Unos rashoda P4'!$J$3:$J$501,'Unos rashoda P4'!$A$3:$A$501,"=63",'Unos rashoda P4'!$S$3:$S$501,"=43")</f>
        <v>0</v>
      </c>
      <c r="U155" s="74">
        <f>SUMIFS('Unos rashoda i izdataka'!$L$3:$L$575,'Unos rashoda i izdataka'!$C$3:$C$575,"=71",'Unos rashoda i izdataka'!$P$3:$P$575,"=43")+SUMIFS('Unos rashoda P4'!$J$3:$J$501,'Unos rashoda P4'!$A$3:$A$501,"=71",'Unos rashoda P4'!$S$3:$S$501,"=43")</f>
        <v>0</v>
      </c>
      <c r="V155" s="74">
        <f>SUMIFS('Unos rashoda i izdataka'!$L$3:$L$575,'Unos rashoda i izdataka'!$C$3:$C$575,"=81",'Unos rashoda i izdataka'!$P$3:$P$575,"=43")+SUMIFS('Unos rashoda P4'!$J$3:$J$501,'Unos rashoda P4'!$A$3:$A$501,"=81",'Unos rashoda P4'!$S$3:$S$501,"=43")</f>
        <v>0</v>
      </c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</row>
    <row r="156" spans="1:262" s="9" customFormat="1" ht="12.6" customHeight="1">
      <c r="A156" s="333">
        <v>44</v>
      </c>
      <c r="B156" s="8" t="s">
        <v>256</v>
      </c>
      <c r="C156" s="71">
        <f t="shared" si="26"/>
        <v>0</v>
      </c>
      <c r="D156" s="74">
        <f>SUMIFS('Unos rashoda i izdataka'!$L$3:$L$575,'Unos rashoda i izdataka'!$C$3:$C$575,"=11",'Unos rashoda i izdataka'!$P$3:$P$575,"=44")+SUMIFS('Unos rashoda P4'!$J$3:$J$501,'Unos rashoda P4'!$A$3:$A$501,"=11",'Unos rashoda P4'!$S$3:$S$501,"=44")</f>
        <v>0</v>
      </c>
      <c r="E156" s="74">
        <f>SUMIFS('Unos rashoda i izdataka'!$L$3:$L$575,'Unos rashoda i izdataka'!$C$3:$C$575,"=12",'Unos rashoda i izdataka'!$P$3:$P$575,"=44")+SUMIFS('Unos rashoda P4'!$J$3:$J$501,'Unos rashoda P4'!$A$3:$A$501,"=12",'Unos rashoda P4'!$S$3:$S$501,"=44")</f>
        <v>0</v>
      </c>
      <c r="F156" s="74">
        <f>SUMIFS('Unos rashoda i izdataka'!$L$3:$L$575,'Unos rashoda i izdataka'!$C$3:$C$575,"=31",'Unos rashoda i izdataka'!$P$3:$P$575,"=44")+SUMIFS('Unos rashoda P4'!$J$3:$J$501,'Unos rashoda P4'!$A$3:$A$501,"=31",'Unos rashoda P4'!$S$3:$S$501,"=44")</f>
        <v>0</v>
      </c>
      <c r="G156" s="74">
        <f>SUMIFS('Unos rashoda i izdataka'!$L$3:$L$575,'Unos rashoda i izdataka'!$C$3:$C$575,"=41",'Unos rashoda i izdataka'!$P$3:$P$575,"=44")+SUMIFS('Unos rashoda P4'!$J$3:$J$501,'Unos rashoda P4'!$A$3:$A$501,"=41",'Unos rashoda P4'!$S$3:$S$501,"=44")</f>
        <v>0</v>
      </c>
      <c r="H156" s="74">
        <f>SUMIFS('Unos rashoda i izdataka'!$L$3:$L$575,'Unos rashoda i izdataka'!$C$3:$C$575,"=43",'Unos rashoda i izdataka'!$P$3:$P$575,"=44")+SUMIFS('Unos rashoda P4'!$J$3:$J$501,'Unos rashoda P4'!$A$3:$A$501,"=43",'Unos rashoda P4'!$S$3:$S$501,"=44")</f>
        <v>0</v>
      </c>
      <c r="I156" s="74">
        <f>SUMIFS('Unos rashoda i izdataka'!$L$3:$L$575,'Unos rashoda i izdataka'!$C$3:$C$575,"=51",'Unos rashoda i izdataka'!$P$3:$P$575,"=44")+SUMIFS('Unos rashoda P4'!$J$3:$J$501,'Unos rashoda P4'!$A$3:$A$501,"=51",'Unos rashoda P4'!$S$3:$S$501,"=44")</f>
        <v>0</v>
      </c>
      <c r="J156" s="74">
        <f>SUMIFS('Unos rashoda i izdataka'!$L$3:$L$575,'Unos rashoda i izdataka'!$C$3:$C$575,"=52",'Unos rashoda i izdataka'!$P$3:$P$575,"=44")+SUMIFS('Unos rashoda P4'!$J$3:$J$501,'Unos rashoda P4'!$A$3:$A$501,"=52",'Unos rashoda P4'!$S$3:$S$501,"=44")</f>
        <v>0</v>
      </c>
      <c r="K156" s="74">
        <f>SUMIFS('Unos rashoda i izdataka'!$L$3:$L$575,'Unos rashoda i izdataka'!$C$3:$C$575,"=552",'Unos rashoda i izdataka'!$P$3:$P$575,"=44")+SUMIFS('Unos rashoda P4'!$J$3:$J$501,'Unos rashoda P4'!$A$3:$A$501,"=552",'Unos rashoda P4'!$S$3:$S$501,"=44")</f>
        <v>0</v>
      </c>
      <c r="L156" s="74">
        <f>SUMIFS('Unos rashoda i izdataka'!$L$3:$L$575,'Unos rashoda i izdataka'!$C$3:$C$575,"=559",'Unos rashoda i izdataka'!$P$3:$P$575,"=44")+SUMIFS('Unos rashoda P4'!$J$3:$J$501,'Unos rashoda P4'!$A$3:$A$501,"=559",'Unos rashoda P4'!$S$3:$S$501,"=44")</f>
        <v>0</v>
      </c>
      <c r="M156" s="74">
        <f>SUMIFS('Unos rashoda i izdataka'!$L$3:$L$575,'Unos rashoda i izdataka'!$C$3:$C$575,"=561",'Unos rashoda i izdataka'!$P$3:$P$575,"=44")+SUMIFS('Unos rashoda P4'!$J$3:$J$501,'Unos rashoda P4'!$A$3:$A$501,"=561",'Unos rashoda P4'!$S$3:$S$501,"=44")</f>
        <v>0</v>
      </c>
      <c r="N156" s="74">
        <f>SUMIFS('Unos rashoda i izdataka'!$L$3:$L$575,'Unos rashoda i izdataka'!$C$3:$C$575,"=563",'Unos rashoda i izdataka'!$P$3:$P$575,"=44")+SUMIFS('Unos rashoda P4'!$J$3:$J$501,'Unos rashoda P4'!$A$3:$A$501,"=563",'Unos rashoda P4'!$S$3:$S$501,"=44")</f>
        <v>0</v>
      </c>
      <c r="O156" s="74">
        <f>SUMIFS('Unos rashoda i izdataka'!$L$3:$L$575,'Unos rashoda i izdataka'!$C$3:$C$575,"=573",'Unos rashoda i izdataka'!$P$3:$P$575,"=44")+SUMIFS('Unos rashoda P4'!$J$3:$J$501,'Unos rashoda P4'!$A$3:$A$501,"=573",'Unos rashoda P4'!$S$3:$S$501,"=44")</f>
        <v>0</v>
      </c>
      <c r="P156" s="74">
        <f>SUMIFS('Unos rashoda i izdataka'!$L$3:$L$575,'Unos rashoda i izdataka'!$C$3:$C$575,"=575",'Unos rashoda i izdataka'!$P$3:$P$575,"=44")+SUMIFS('Unos rashoda P4'!$J$3:$J$501,'Unos rashoda P4'!$A$3:$A$501,"=575",'Unos rashoda P4'!$S$3:$S$501,"=44")</f>
        <v>0</v>
      </c>
      <c r="Q156" s="74">
        <f>SUMIFS('Unos rashoda i izdataka'!$L$3:$L$575,'Unos rashoda i izdataka'!$Q$3:$Q$575,"=576",'Unos rashoda i izdataka'!$P$3:$P$575,"=44")+SUMIFS('Unos rashoda P4'!$J$3:$J$501,'Unos rashoda P4'!$A$3:$A$501,"=576",'Unos rashoda P4'!$S$3:$S$501,"=44")</f>
        <v>0</v>
      </c>
      <c r="R156" s="74">
        <f>SUMIFS('Unos rashoda i izdataka'!$L$3:$L$575,'Unos rashoda i izdataka'!$C$3:$C$575,"=581",'Unos rashoda i izdataka'!$P$3:$P$575,"=44")+SUMIFS('Unos rashoda P4'!$J$3:$J$501,'Unos rashoda P4'!$A$3:$A$501,"=581",'Unos rashoda P4'!$S$3:$S$501,"=44")</f>
        <v>0</v>
      </c>
      <c r="S156" s="74">
        <f>SUMIFS('Unos rashoda i izdataka'!$L$3:$L$575,'Unos rashoda i izdataka'!$C$3:$C$575,"=61",'Unos rashoda i izdataka'!$P$3:$P$575,"=44")+SUMIFS('Unos rashoda P4'!$J$3:$J$501,'Unos rashoda P4'!$A$3:$A$501,"=61",'Unos rashoda P4'!$S$3:$S$501,"=44")</f>
        <v>0</v>
      </c>
      <c r="T156" s="74">
        <f>SUMIFS('Unos rashoda i izdataka'!$L$3:$L$575,'Unos rashoda i izdataka'!$C$3:$C$575,"=63",'Unos rashoda i izdataka'!$P$3:$P$575,"=44")+SUMIFS('Unos rashoda P4'!$J$3:$J$501,'Unos rashoda P4'!$A$3:$A$501,"=63",'Unos rashoda P4'!$S$3:$S$501,"=44")</f>
        <v>0</v>
      </c>
      <c r="U156" s="74">
        <f>SUMIFS('Unos rashoda i izdataka'!$L$3:$L$575,'Unos rashoda i izdataka'!$C$3:$C$575,"=71",'Unos rashoda i izdataka'!$P$3:$P$575,"=44")+SUMIFS('Unos rashoda P4'!$J$3:$J$501,'Unos rashoda P4'!$A$3:$A$501,"=71",'Unos rashoda P4'!$S$3:$S$501,"=44")</f>
        <v>0</v>
      </c>
      <c r="V156" s="74">
        <f>SUMIFS('Unos rashoda i izdataka'!$L$3:$L$575,'Unos rashoda i izdataka'!$C$3:$C$575,"=81",'Unos rashoda i izdataka'!$P$3:$P$575,"=44")+SUMIFS('Unos rashoda P4'!$J$3:$J$501,'Unos rashoda P4'!$A$3:$A$501,"=81",'Unos rashoda P4'!$S$3:$S$501,"=44")</f>
        <v>0</v>
      </c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</row>
    <row r="157" spans="1:262" s="13" customFormat="1" ht="12.6" customHeight="1">
      <c r="A157" s="334">
        <v>45</v>
      </c>
      <c r="B157" s="10" t="s">
        <v>204</v>
      </c>
      <c r="C157" s="71">
        <f t="shared" si="26"/>
        <v>0</v>
      </c>
      <c r="D157" s="74">
        <f>SUMIFS('Unos rashoda i izdataka'!$L$3:$L$575,'Unos rashoda i izdataka'!$C$3:$C$575,"=11",'Unos rashoda i izdataka'!$P$3:$P$575,"=45")+SUMIFS('Unos rashoda P4'!$J$3:$J$501,'Unos rashoda P4'!$A$3:$A$501,"=11",'Unos rashoda P4'!$S$3:$S$501,"=45")</f>
        <v>0</v>
      </c>
      <c r="E157" s="74">
        <f>SUMIFS('Unos rashoda i izdataka'!$L$3:$L$575,'Unos rashoda i izdataka'!$C$3:$C$575,"=12",'Unos rashoda i izdataka'!$P$3:$P$575,"=45")+SUMIFS('Unos rashoda P4'!$J$3:$J$501,'Unos rashoda P4'!$A$3:$A$501,"=12",'Unos rashoda P4'!$S$3:$S$501,"=45")</f>
        <v>0</v>
      </c>
      <c r="F157" s="74">
        <f>SUMIFS('Unos rashoda i izdataka'!$L$3:$L$575,'Unos rashoda i izdataka'!$C$3:$C$575,"=31",'Unos rashoda i izdataka'!$P$3:$P$575,"=45")+SUMIFS('Unos rashoda P4'!$J$3:$J$501,'Unos rashoda P4'!$A$3:$A$501,"=31",'Unos rashoda P4'!$S$3:$S$501,"=45")</f>
        <v>0</v>
      </c>
      <c r="G157" s="74">
        <f>SUMIFS('Unos rashoda i izdataka'!$L$3:$L$575,'Unos rashoda i izdataka'!$C$3:$C$575,"=41",'Unos rashoda i izdataka'!$P$3:$P$575,"=45")+SUMIFS('Unos rashoda P4'!$J$3:$J$501,'Unos rashoda P4'!$A$3:$A$501,"=41",'Unos rashoda P4'!$S$3:$S$501,"=45")</f>
        <v>0</v>
      </c>
      <c r="H157" s="74">
        <f>SUMIFS('Unos rashoda i izdataka'!$L$3:$L$575,'Unos rashoda i izdataka'!$C$3:$C$575,"=43",'Unos rashoda i izdataka'!$P$3:$P$575,"=45")+SUMIFS('Unos rashoda P4'!$J$3:$J$501,'Unos rashoda P4'!$A$3:$A$501,"=43",'Unos rashoda P4'!$S$3:$S$501,"=45")</f>
        <v>0</v>
      </c>
      <c r="I157" s="74">
        <f>SUMIFS('Unos rashoda i izdataka'!$L$3:$L$575,'Unos rashoda i izdataka'!$C$3:$C$575,"=51",'Unos rashoda i izdataka'!$P$3:$P$575,"=45")+SUMIFS('Unos rashoda P4'!$J$3:$J$501,'Unos rashoda P4'!$A$3:$A$501,"=51",'Unos rashoda P4'!$S$3:$S$501,"=45")</f>
        <v>0</v>
      </c>
      <c r="J157" s="74">
        <f>SUMIFS('Unos rashoda i izdataka'!$L$3:$L$575,'Unos rashoda i izdataka'!$C$3:$C$575,"=52",'Unos rashoda i izdataka'!$P$3:$P$575,"=45")+SUMIFS('Unos rashoda P4'!$J$3:$J$501,'Unos rashoda P4'!$A$3:$A$501,"=52",'Unos rashoda P4'!$S$3:$S$501,"=45")</f>
        <v>0</v>
      </c>
      <c r="K157" s="74">
        <f>SUMIFS('Unos rashoda i izdataka'!$L$3:$L$575,'Unos rashoda i izdataka'!$C$3:$C$575,"=552",'Unos rashoda i izdataka'!$P$3:$P$575,"=45")+SUMIFS('Unos rashoda P4'!$J$3:$J$501,'Unos rashoda P4'!$A$3:$A$501,"=552",'Unos rashoda P4'!$S$3:$S$501,"=45")</f>
        <v>0</v>
      </c>
      <c r="L157" s="74">
        <f>SUMIFS('Unos rashoda i izdataka'!$L$3:$L$575,'Unos rashoda i izdataka'!$C$3:$C$575,"=559",'Unos rashoda i izdataka'!$P$3:$P$575,"=45")+SUMIFS('Unos rashoda P4'!$J$3:$J$501,'Unos rashoda P4'!$A$3:$A$501,"=559",'Unos rashoda P4'!$S$3:$S$501,"=45")</f>
        <v>0</v>
      </c>
      <c r="M157" s="74">
        <f>SUMIFS('Unos rashoda i izdataka'!$L$3:$L$575,'Unos rashoda i izdataka'!$C$3:$C$575,"=561",'Unos rashoda i izdataka'!$P$3:$P$575,"=45")+SUMIFS('Unos rashoda P4'!$J$3:$J$501,'Unos rashoda P4'!$A$3:$A$501,"=561",'Unos rashoda P4'!$S$3:$S$501,"=45")</f>
        <v>0</v>
      </c>
      <c r="N157" s="74">
        <f>SUMIFS('Unos rashoda i izdataka'!$L$3:$L$575,'Unos rashoda i izdataka'!$C$3:$C$575,"=563",'Unos rashoda i izdataka'!$P$3:$P$575,"=45")+SUMIFS('Unos rashoda P4'!$J$3:$J$501,'Unos rashoda P4'!$A$3:$A$501,"=563",'Unos rashoda P4'!$S$3:$S$501,"=45")</f>
        <v>0</v>
      </c>
      <c r="O157" s="74">
        <f>SUMIFS('Unos rashoda i izdataka'!$L$3:$L$575,'Unos rashoda i izdataka'!$C$3:$C$575,"=573",'Unos rashoda i izdataka'!$P$3:$P$575,"=45")+SUMIFS('Unos rashoda P4'!$J$3:$J$501,'Unos rashoda P4'!$A$3:$A$501,"=573",'Unos rashoda P4'!$S$3:$S$501,"=45")</f>
        <v>0</v>
      </c>
      <c r="P157" s="74">
        <f>SUMIFS('Unos rashoda i izdataka'!$L$3:$L$575,'Unos rashoda i izdataka'!$C$3:$C$575,"=575",'Unos rashoda i izdataka'!$P$3:$P$575,"=45")+SUMIFS('Unos rashoda P4'!$J$3:$J$501,'Unos rashoda P4'!$A$3:$A$501,"=575",'Unos rashoda P4'!$S$3:$S$501,"=45")</f>
        <v>0</v>
      </c>
      <c r="Q157" s="74">
        <f>SUMIFS('Unos rashoda i izdataka'!$L$3:$L$575,'Unos rashoda i izdataka'!$Q$3:$Q$575,"=576",'Unos rashoda i izdataka'!$P$3:$P$575,"=45")+SUMIFS('Unos rashoda P4'!$J$3:$J$501,'Unos rashoda P4'!$A$3:$A$501,"=576",'Unos rashoda P4'!$S$3:$S$501,"=45")</f>
        <v>0</v>
      </c>
      <c r="R157" s="74">
        <f>SUMIFS('Unos rashoda i izdataka'!$L$3:$L$575,'Unos rashoda i izdataka'!$C$3:$C$575,"=581",'Unos rashoda i izdataka'!$P$3:$P$575,"=45")+SUMIFS('Unos rashoda P4'!$J$3:$J$501,'Unos rashoda P4'!$A$3:$A$501,"=581",'Unos rashoda P4'!$S$3:$S$501,"=45")</f>
        <v>0</v>
      </c>
      <c r="S157" s="74">
        <f>SUMIFS('Unos rashoda i izdataka'!$L$3:$L$575,'Unos rashoda i izdataka'!$C$3:$C$575,"=61",'Unos rashoda i izdataka'!$P$3:$P$575,"=45")+SUMIFS('Unos rashoda P4'!$J$3:$J$501,'Unos rashoda P4'!$A$3:$A$501,"=61",'Unos rashoda P4'!$S$3:$S$501,"=45")</f>
        <v>0</v>
      </c>
      <c r="T157" s="74">
        <f>SUMIFS('Unos rashoda i izdataka'!$L$3:$L$575,'Unos rashoda i izdataka'!$C$3:$C$575,"=63",'Unos rashoda i izdataka'!$P$3:$P$575,"=45")+SUMIFS('Unos rashoda P4'!$J$3:$J$501,'Unos rashoda P4'!$A$3:$A$501,"=63",'Unos rashoda P4'!$S$3:$S$501,"=45")</f>
        <v>0</v>
      </c>
      <c r="U157" s="74">
        <f>SUMIFS('Unos rashoda i izdataka'!$L$3:$L$575,'Unos rashoda i izdataka'!$C$3:$C$575,"=71",'Unos rashoda i izdataka'!$P$3:$P$575,"=45")+SUMIFS('Unos rashoda P4'!$J$3:$J$501,'Unos rashoda P4'!$A$3:$A$501,"=71",'Unos rashoda P4'!$S$3:$S$501,"=45")</f>
        <v>0</v>
      </c>
      <c r="V157" s="74">
        <f>SUMIFS('Unos rashoda i izdataka'!$L$3:$L$575,'Unos rashoda i izdataka'!$C$3:$C$575,"=81",'Unos rashoda i izdataka'!$P$3:$P$575,"=45")+SUMIFS('Unos rashoda P4'!$J$3:$J$501,'Unos rashoda P4'!$A$3:$A$501,"=81",'Unos rashoda P4'!$S$3:$S$501,"=45")</f>
        <v>0</v>
      </c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X157" s="36"/>
      <c r="IY157" s="36"/>
      <c r="IZ157" s="36"/>
      <c r="JA157" s="36"/>
      <c r="JB157" s="36"/>
    </row>
    <row r="158" spans="1:262" s="28" customFormat="1">
      <c r="A158" s="336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336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336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336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336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336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336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  <row r="3656" spans="1:262" s="28" customFormat="1">
      <c r="A3656" s="29"/>
      <c r="B3656" s="29"/>
      <c r="C3656" s="29"/>
      <c r="D3656" s="29"/>
      <c r="E3656" s="29"/>
      <c r="F3656" s="29"/>
      <c r="G3656" s="29"/>
      <c r="H3656" s="29"/>
      <c r="I3656" s="29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GK3656" s="29"/>
      <c r="GL3656" s="29"/>
      <c r="GM3656" s="29"/>
      <c r="GN3656" s="29"/>
      <c r="GO3656" s="29"/>
      <c r="GP3656" s="29"/>
      <c r="GQ3656" s="29"/>
      <c r="GR3656" s="29"/>
      <c r="GS3656" s="29"/>
      <c r="GT3656" s="29"/>
      <c r="GU3656" s="29"/>
      <c r="GV3656" s="29"/>
      <c r="GW3656" s="29"/>
      <c r="GX3656" s="29"/>
      <c r="GY3656" s="29"/>
      <c r="GZ3656" s="29"/>
      <c r="HA3656" s="29"/>
      <c r="HB3656" s="29"/>
      <c r="HC3656" s="29"/>
      <c r="HD3656" s="29"/>
      <c r="HE3656" s="29"/>
      <c r="HF3656" s="29"/>
      <c r="HG3656" s="29"/>
      <c r="HH3656" s="29"/>
      <c r="HI3656" s="29"/>
      <c r="HJ3656" s="29"/>
      <c r="HK3656" s="29"/>
      <c r="HL3656" s="29"/>
      <c r="HM3656" s="29"/>
      <c r="HN3656" s="29"/>
      <c r="HO3656" s="29"/>
      <c r="HP3656" s="29"/>
      <c r="HQ3656" s="29"/>
      <c r="HR3656" s="29"/>
      <c r="HS3656" s="29"/>
      <c r="HT3656" s="29"/>
      <c r="HU3656" s="29"/>
      <c r="HV3656" s="29"/>
      <c r="HW3656" s="29"/>
      <c r="HX3656" s="29"/>
      <c r="HY3656" s="29"/>
      <c r="HZ3656" s="29"/>
      <c r="IA3656" s="29"/>
      <c r="IB3656" s="29"/>
      <c r="IC3656" s="29"/>
      <c r="ID3656" s="29"/>
      <c r="IE3656" s="29"/>
      <c r="IF3656" s="29"/>
      <c r="IG3656" s="29"/>
      <c r="IH3656" s="29"/>
      <c r="II3656" s="29"/>
      <c r="IJ3656" s="29"/>
      <c r="IK3656" s="29"/>
      <c r="IL3656" s="29"/>
      <c r="IM3656" s="29"/>
      <c r="IN3656" s="29"/>
      <c r="IO3656" s="29"/>
      <c r="IP3656" s="29"/>
      <c r="IQ3656" s="29"/>
      <c r="IR3656" s="29"/>
      <c r="IS3656" s="29"/>
      <c r="IT3656" s="29"/>
      <c r="IU3656" s="29"/>
      <c r="IV3656" s="29"/>
      <c r="IW3656" s="29"/>
      <c r="IX3656" s="29"/>
      <c r="IY3656" s="29"/>
      <c r="IZ3656" s="29"/>
      <c r="JA3656" s="29"/>
      <c r="JB3656" s="29"/>
    </row>
    <row r="3657" spans="1:262" s="28" customFormat="1">
      <c r="A3657" s="29"/>
      <c r="B3657" s="29"/>
      <c r="C3657" s="29"/>
      <c r="D3657" s="29"/>
      <c r="E3657" s="29"/>
      <c r="F3657" s="29"/>
      <c r="G3657" s="29"/>
      <c r="H3657" s="29"/>
      <c r="I3657" s="29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GK3657" s="29"/>
      <c r="GL3657" s="29"/>
      <c r="GM3657" s="29"/>
      <c r="GN3657" s="29"/>
      <c r="GO3657" s="29"/>
      <c r="GP3657" s="29"/>
      <c r="GQ3657" s="29"/>
      <c r="GR3657" s="29"/>
      <c r="GS3657" s="29"/>
      <c r="GT3657" s="29"/>
      <c r="GU3657" s="29"/>
      <c r="GV3657" s="29"/>
      <c r="GW3657" s="29"/>
      <c r="GX3657" s="29"/>
      <c r="GY3657" s="29"/>
      <c r="GZ3657" s="29"/>
      <c r="HA3657" s="29"/>
      <c r="HB3657" s="29"/>
      <c r="HC3657" s="29"/>
      <c r="HD3657" s="29"/>
      <c r="HE3657" s="29"/>
      <c r="HF3657" s="29"/>
      <c r="HG3657" s="29"/>
      <c r="HH3657" s="29"/>
      <c r="HI3657" s="29"/>
      <c r="HJ3657" s="29"/>
      <c r="HK3657" s="29"/>
      <c r="HL3657" s="29"/>
      <c r="HM3657" s="29"/>
      <c r="HN3657" s="29"/>
      <c r="HO3657" s="29"/>
      <c r="HP3657" s="29"/>
      <c r="HQ3657" s="29"/>
      <c r="HR3657" s="29"/>
      <c r="HS3657" s="29"/>
      <c r="HT3657" s="29"/>
      <c r="HU3657" s="29"/>
      <c r="HV3657" s="29"/>
      <c r="HW3657" s="29"/>
      <c r="HX3657" s="29"/>
      <c r="HY3657" s="29"/>
      <c r="HZ3657" s="29"/>
      <c r="IA3657" s="29"/>
      <c r="IB3657" s="29"/>
      <c r="IC3657" s="29"/>
      <c r="ID3657" s="29"/>
      <c r="IE3657" s="29"/>
      <c r="IF3657" s="29"/>
      <c r="IG3657" s="29"/>
      <c r="IH3657" s="29"/>
      <c r="II3657" s="29"/>
      <c r="IJ3657" s="29"/>
      <c r="IK3657" s="29"/>
      <c r="IL3657" s="29"/>
      <c r="IM3657" s="29"/>
      <c r="IN3657" s="29"/>
      <c r="IO3657" s="29"/>
      <c r="IP3657" s="29"/>
      <c r="IQ3657" s="29"/>
      <c r="IR3657" s="29"/>
      <c r="IS3657" s="29"/>
      <c r="IT3657" s="29"/>
      <c r="IU3657" s="29"/>
      <c r="IV3657" s="29"/>
      <c r="IW3657" s="29"/>
      <c r="IX3657" s="29"/>
      <c r="IY3657" s="29"/>
      <c r="IZ3657" s="29"/>
      <c r="JA3657" s="29"/>
      <c r="JB3657" s="29"/>
    </row>
    <row r="3658" spans="1:262" s="28" customFormat="1">
      <c r="A3658" s="29"/>
      <c r="B3658" s="29"/>
      <c r="C3658" s="29"/>
      <c r="D3658" s="29"/>
      <c r="E3658" s="29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GK3658" s="29"/>
      <c r="GL3658" s="29"/>
      <c r="GM3658" s="29"/>
      <c r="GN3658" s="29"/>
      <c r="GO3658" s="29"/>
      <c r="GP3658" s="29"/>
      <c r="GQ3658" s="29"/>
      <c r="GR3658" s="29"/>
      <c r="GS3658" s="29"/>
      <c r="GT3658" s="29"/>
      <c r="GU3658" s="29"/>
      <c r="GV3658" s="29"/>
      <c r="GW3658" s="29"/>
      <c r="GX3658" s="29"/>
      <c r="GY3658" s="29"/>
      <c r="GZ3658" s="29"/>
      <c r="HA3658" s="29"/>
      <c r="HB3658" s="29"/>
      <c r="HC3658" s="29"/>
      <c r="HD3658" s="29"/>
      <c r="HE3658" s="29"/>
      <c r="HF3658" s="29"/>
      <c r="HG3658" s="29"/>
      <c r="HH3658" s="29"/>
      <c r="HI3658" s="29"/>
      <c r="HJ3658" s="29"/>
      <c r="HK3658" s="29"/>
      <c r="HL3658" s="29"/>
      <c r="HM3658" s="29"/>
      <c r="HN3658" s="29"/>
      <c r="HO3658" s="29"/>
      <c r="HP3658" s="29"/>
      <c r="HQ3658" s="29"/>
      <c r="HR3658" s="29"/>
      <c r="HS3658" s="29"/>
      <c r="HT3658" s="29"/>
      <c r="HU3658" s="29"/>
      <c r="HV3658" s="29"/>
      <c r="HW3658" s="29"/>
      <c r="HX3658" s="29"/>
      <c r="HY3658" s="29"/>
      <c r="HZ3658" s="29"/>
      <c r="IA3658" s="29"/>
      <c r="IB3658" s="29"/>
      <c r="IC3658" s="29"/>
      <c r="ID3658" s="29"/>
      <c r="IE3658" s="29"/>
      <c r="IF3658" s="29"/>
      <c r="IG3658" s="29"/>
      <c r="IH3658" s="29"/>
      <c r="II3658" s="29"/>
      <c r="IJ3658" s="29"/>
      <c r="IK3658" s="29"/>
      <c r="IL3658" s="29"/>
      <c r="IM3658" s="29"/>
      <c r="IN3658" s="29"/>
      <c r="IO3658" s="29"/>
      <c r="IP3658" s="29"/>
      <c r="IQ3658" s="29"/>
      <c r="IR3658" s="29"/>
      <c r="IS3658" s="29"/>
      <c r="IT3658" s="29"/>
      <c r="IU3658" s="29"/>
      <c r="IV3658" s="29"/>
      <c r="IW3658" s="29"/>
      <c r="IX3658" s="29"/>
      <c r="IY3658" s="29"/>
      <c r="IZ3658" s="29"/>
      <c r="JA3658" s="29"/>
      <c r="JB3658" s="29"/>
    </row>
    <row r="3659" spans="1:262" s="28" customFormat="1">
      <c r="A3659" s="29"/>
      <c r="B3659" s="29"/>
      <c r="C3659" s="29"/>
      <c r="D3659" s="29"/>
      <c r="E3659" s="29"/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GK3659" s="29"/>
      <c r="GL3659" s="29"/>
      <c r="GM3659" s="29"/>
      <c r="GN3659" s="29"/>
      <c r="GO3659" s="29"/>
      <c r="GP3659" s="29"/>
      <c r="GQ3659" s="29"/>
      <c r="GR3659" s="29"/>
      <c r="GS3659" s="29"/>
      <c r="GT3659" s="29"/>
      <c r="GU3659" s="29"/>
      <c r="GV3659" s="29"/>
      <c r="GW3659" s="29"/>
      <c r="GX3659" s="29"/>
      <c r="GY3659" s="29"/>
      <c r="GZ3659" s="29"/>
      <c r="HA3659" s="29"/>
      <c r="HB3659" s="29"/>
      <c r="HC3659" s="29"/>
      <c r="HD3659" s="29"/>
      <c r="HE3659" s="29"/>
      <c r="HF3659" s="29"/>
      <c r="HG3659" s="29"/>
      <c r="HH3659" s="29"/>
      <c r="HI3659" s="29"/>
      <c r="HJ3659" s="29"/>
      <c r="HK3659" s="29"/>
      <c r="HL3659" s="29"/>
      <c r="HM3659" s="29"/>
      <c r="HN3659" s="29"/>
      <c r="HO3659" s="29"/>
      <c r="HP3659" s="29"/>
      <c r="HQ3659" s="29"/>
      <c r="HR3659" s="29"/>
      <c r="HS3659" s="29"/>
      <c r="HT3659" s="29"/>
      <c r="HU3659" s="29"/>
      <c r="HV3659" s="29"/>
      <c r="HW3659" s="29"/>
      <c r="HX3659" s="29"/>
      <c r="HY3659" s="29"/>
      <c r="HZ3659" s="29"/>
      <c r="IA3659" s="29"/>
      <c r="IB3659" s="29"/>
      <c r="IC3659" s="29"/>
      <c r="ID3659" s="29"/>
      <c r="IE3659" s="29"/>
      <c r="IF3659" s="29"/>
      <c r="IG3659" s="29"/>
      <c r="IH3659" s="29"/>
      <c r="II3659" s="29"/>
      <c r="IJ3659" s="29"/>
      <c r="IK3659" s="29"/>
      <c r="IL3659" s="29"/>
      <c r="IM3659" s="29"/>
      <c r="IN3659" s="29"/>
      <c r="IO3659" s="29"/>
      <c r="IP3659" s="29"/>
      <c r="IQ3659" s="29"/>
      <c r="IR3659" s="29"/>
      <c r="IS3659" s="29"/>
      <c r="IT3659" s="29"/>
      <c r="IU3659" s="29"/>
      <c r="IV3659" s="29"/>
      <c r="IW3659" s="29"/>
      <c r="IX3659" s="29"/>
      <c r="IY3659" s="29"/>
      <c r="IZ3659" s="29"/>
      <c r="JA3659" s="29"/>
      <c r="JB3659" s="29"/>
    </row>
    <row r="3660" spans="1:262" s="28" customFormat="1">
      <c r="A3660" s="29"/>
      <c r="B3660" s="29"/>
      <c r="C3660" s="29"/>
      <c r="D3660" s="29"/>
      <c r="E3660" s="29"/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GK3660" s="29"/>
      <c r="GL3660" s="29"/>
      <c r="GM3660" s="29"/>
      <c r="GN3660" s="29"/>
      <c r="GO3660" s="29"/>
      <c r="GP3660" s="29"/>
      <c r="GQ3660" s="29"/>
      <c r="GR3660" s="29"/>
      <c r="GS3660" s="29"/>
      <c r="GT3660" s="29"/>
      <c r="GU3660" s="29"/>
      <c r="GV3660" s="29"/>
      <c r="GW3660" s="29"/>
      <c r="GX3660" s="29"/>
      <c r="GY3660" s="29"/>
      <c r="GZ3660" s="29"/>
      <c r="HA3660" s="29"/>
      <c r="HB3660" s="29"/>
      <c r="HC3660" s="29"/>
      <c r="HD3660" s="29"/>
      <c r="HE3660" s="29"/>
      <c r="HF3660" s="29"/>
      <c r="HG3660" s="29"/>
      <c r="HH3660" s="29"/>
      <c r="HI3660" s="29"/>
      <c r="HJ3660" s="29"/>
      <c r="HK3660" s="29"/>
      <c r="HL3660" s="29"/>
      <c r="HM3660" s="29"/>
      <c r="HN3660" s="29"/>
      <c r="HO3660" s="29"/>
      <c r="HP3660" s="29"/>
      <c r="HQ3660" s="29"/>
      <c r="HR3660" s="29"/>
      <c r="HS3660" s="29"/>
      <c r="HT3660" s="29"/>
      <c r="HU3660" s="29"/>
      <c r="HV3660" s="29"/>
      <c r="HW3660" s="29"/>
      <c r="HX3660" s="29"/>
      <c r="HY3660" s="29"/>
      <c r="HZ3660" s="29"/>
      <c r="IA3660" s="29"/>
      <c r="IB3660" s="29"/>
      <c r="IC3660" s="29"/>
      <c r="ID3660" s="29"/>
      <c r="IE3660" s="29"/>
      <c r="IF3660" s="29"/>
      <c r="IG3660" s="29"/>
      <c r="IH3660" s="29"/>
      <c r="II3660" s="29"/>
      <c r="IJ3660" s="29"/>
      <c r="IK3660" s="29"/>
      <c r="IL3660" s="29"/>
      <c r="IM3660" s="29"/>
      <c r="IN3660" s="29"/>
      <c r="IO3660" s="29"/>
      <c r="IP3660" s="29"/>
      <c r="IQ3660" s="29"/>
      <c r="IR3660" s="29"/>
      <c r="IS3660" s="29"/>
      <c r="IT3660" s="29"/>
      <c r="IU3660" s="29"/>
      <c r="IV3660" s="29"/>
      <c r="IW3660" s="29"/>
      <c r="IX3660" s="29"/>
      <c r="IY3660" s="29"/>
      <c r="IZ3660" s="29"/>
      <c r="JA3660" s="29"/>
      <c r="JB3660" s="29"/>
    </row>
    <row r="3661" spans="1:262" s="28" customFormat="1">
      <c r="A3661" s="29"/>
      <c r="B3661" s="29"/>
      <c r="C3661" s="29"/>
      <c r="D3661" s="29"/>
      <c r="E3661" s="29"/>
      <c r="F3661" s="29"/>
      <c r="G3661" s="29"/>
      <c r="H3661" s="29"/>
      <c r="I3661" s="29"/>
      <c r="J3661" s="29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GK3661" s="29"/>
      <c r="GL3661" s="29"/>
      <c r="GM3661" s="29"/>
      <c r="GN3661" s="29"/>
      <c r="GO3661" s="29"/>
      <c r="GP3661" s="29"/>
      <c r="GQ3661" s="29"/>
      <c r="GR3661" s="29"/>
      <c r="GS3661" s="29"/>
      <c r="GT3661" s="29"/>
      <c r="GU3661" s="29"/>
      <c r="GV3661" s="29"/>
      <c r="GW3661" s="29"/>
      <c r="GX3661" s="29"/>
      <c r="GY3661" s="29"/>
      <c r="GZ3661" s="29"/>
      <c r="HA3661" s="29"/>
      <c r="HB3661" s="29"/>
      <c r="HC3661" s="29"/>
      <c r="HD3661" s="29"/>
      <c r="HE3661" s="29"/>
      <c r="HF3661" s="29"/>
      <c r="HG3661" s="29"/>
      <c r="HH3661" s="29"/>
      <c r="HI3661" s="29"/>
      <c r="HJ3661" s="29"/>
      <c r="HK3661" s="29"/>
      <c r="HL3661" s="29"/>
      <c r="HM3661" s="29"/>
      <c r="HN3661" s="29"/>
      <c r="HO3661" s="29"/>
      <c r="HP3661" s="29"/>
      <c r="HQ3661" s="29"/>
      <c r="HR3661" s="29"/>
      <c r="HS3661" s="29"/>
      <c r="HT3661" s="29"/>
      <c r="HU3661" s="29"/>
      <c r="HV3661" s="29"/>
      <c r="HW3661" s="29"/>
      <c r="HX3661" s="29"/>
      <c r="HY3661" s="29"/>
      <c r="HZ3661" s="29"/>
      <c r="IA3661" s="29"/>
      <c r="IB3661" s="29"/>
      <c r="IC3661" s="29"/>
      <c r="ID3661" s="29"/>
      <c r="IE3661" s="29"/>
      <c r="IF3661" s="29"/>
      <c r="IG3661" s="29"/>
      <c r="IH3661" s="29"/>
      <c r="II3661" s="29"/>
      <c r="IJ3661" s="29"/>
      <c r="IK3661" s="29"/>
      <c r="IL3661" s="29"/>
      <c r="IM3661" s="29"/>
      <c r="IN3661" s="29"/>
      <c r="IO3661" s="29"/>
      <c r="IP3661" s="29"/>
      <c r="IQ3661" s="29"/>
      <c r="IR3661" s="29"/>
      <c r="IS3661" s="29"/>
      <c r="IT3661" s="29"/>
      <c r="IU3661" s="29"/>
      <c r="IV3661" s="29"/>
      <c r="IW3661" s="29"/>
      <c r="IX3661" s="29"/>
      <c r="IY3661" s="29"/>
      <c r="IZ3661" s="29"/>
      <c r="JA3661" s="29"/>
      <c r="JB3661" s="29"/>
    </row>
    <row r="3662" spans="1:262" s="28" customFormat="1">
      <c r="A3662" s="29"/>
      <c r="B3662" s="29"/>
      <c r="C3662" s="29"/>
      <c r="D3662" s="29"/>
      <c r="E3662" s="29"/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GK3662" s="29"/>
      <c r="GL3662" s="29"/>
      <c r="GM3662" s="29"/>
      <c r="GN3662" s="29"/>
      <c r="GO3662" s="29"/>
      <c r="GP3662" s="29"/>
      <c r="GQ3662" s="29"/>
      <c r="GR3662" s="29"/>
      <c r="GS3662" s="29"/>
      <c r="GT3662" s="29"/>
      <c r="GU3662" s="29"/>
      <c r="GV3662" s="29"/>
      <c r="GW3662" s="29"/>
      <c r="GX3662" s="29"/>
      <c r="GY3662" s="29"/>
      <c r="GZ3662" s="29"/>
      <c r="HA3662" s="29"/>
      <c r="HB3662" s="29"/>
      <c r="HC3662" s="29"/>
      <c r="HD3662" s="29"/>
      <c r="HE3662" s="29"/>
      <c r="HF3662" s="29"/>
      <c r="HG3662" s="29"/>
      <c r="HH3662" s="29"/>
      <c r="HI3662" s="29"/>
      <c r="HJ3662" s="29"/>
      <c r="HK3662" s="29"/>
      <c r="HL3662" s="29"/>
      <c r="HM3662" s="29"/>
      <c r="HN3662" s="29"/>
      <c r="HO3662" s="29"/>
      <c r="HP3662" s="29"/>
      <c r="HQ3662" s="29"/>
      <c r="HR3662" s="29"/>
      <c r="HS3662" s="29"/>
      <c r="HT3662" s="29"/>
      <c r="HU3662" s="29"/>
      <c r="HV3662" s="29"/>
      <c r="HW3662" s="29"/>
      <c r="HX3662" s="29"/>
      <c r="HY3662" s="29"/>
      <c r="HZ3662" s="29"/>
      <c r="IA3662" s="29"/>
      <c r="IB3662" s="29"/>
      <c r="IC3662" s="29"/>
      <c r="ID3662" s="29"/>
      <c r="IE3662" s="29"/>
      <c r="IF3662" s="29"/>
      <c r="IG3662" s="29"/>
      <c r="IH3662" s="29"/>
      <c r="II3662" s="29"/>
      <c r="IJ3662" s="29"/>
      <c r="IK3662" s="29"/>
      <c r="IL3662" s="29"/>
      <c r="IM3662" s="29"/>
      <c r="IN3662" s="29"/>
      <c r="IO3662" s="29"/>
      <c r="IP3662" s="29"/>
      <c r="IQ3662" s="29"/>
      <c r="IR3662" s="29"/>
      <c r="IS3662" s="29"/>
      <c r="IT3662" s="29"/>
      <c r="IU3662" s="29"/>
      <c r="IV3662" s="29"/>
      <c r="IW3662" s="29"/>
      <c r="IX3662" s="29"/>
      <c r="IY3662" s="29"/>
      <c r="IZ3662" s="29"/>
      <c r="JA3662" s="29"/>
      <c r="JB3662" s="29"/>
    </row>
    <row r="3663" spans="1:262" s="28" customFormat="1">
      <c r="A3663" s="29"/>
      <c r="B3663" s="29"/>
      <c r="C3663" s="29"/>
      <c r="D3663" s="29"/>
      <c r="E3663" s="29"/>
      <c r="F3663" s="29"/>
      <c r="G3663" s="29"/>
      <c r="H3663" s="29"/>
      <c r="I3663" s="29"/>
      <c r="J3663" s="29"/>
      <c r="K3663" s="29"/>
      <c r="L3663" s="29"/>
      <c r="M3663" s="29"/>
      <c r="N3663" s="29"/>
      <c r="O3663" s="29"/>
      <c r="P3663" s="29"/>
      <c r="Q3663" s="29"/>
      <c r="R3663" s="29"/>
      <c r="S3663" s="29"/>
      <c r="T3663" s="29"/>
      <c r="U3663" s="29"/>
      <c r="V3663" s="29"/>
      <c r="GK3663" s="29"/>
      <c r="GL3663" s="29"/>
      <c r="GM3663" s="29"/>
      <c r="GN3663" s="29"/>
      <c r="GO3663" s="29"/>
      <c r="GP3663" s="29"/>
      <c r="GQ3663" s="29"/>
      <c r="GR3663" s="29"/>
      <c r="GS3663" s="29"/>
      <c r="GT3663" s="29"/>
      <c r="GU3663" s="29"/>
      <c r="GV3663" s="29"/>
      <c r="GW3663" s="29"/>
      <c r="GX3663" s="29"/>
      <c r="GY3663" s="29"/>
      <c r="GZ3663" s="29"/>
      <c r="HA3663" s="29"/>
      <c r="HB3663" s="29"/>
      <c r="HC3663" s="29"/>
      <c r="HD3663" s="29"/>
      <c r="HE3663" s="29"/>
      <c r="HF3663" s="29"/>
      <c r="HG3663" s="29"/>
      <c r="HH3663" s="29"/>
      <c r="HI3663" s="29"/>
      <c r="HJ3663" s="29"/>
      <c r="HK3663" s="29"/>
      <c r="HL3663" s="29"/>
      <c r="HM3663" s="29"/>
      <c r="HN3663" s="29"/>
      <c r="HO3663" s="29"/>
      <c r="HP3663" s="29"/>
      <c r="HQ3663" s="29"/>
      <c r="HR3663" s="29"/>
      <c r="HS3663" s="29"/>
      <c r="HT3663" s="29"/>
      <c r="HU3663" s="29"/>
      <c r="HV3663" s="29"/>
      <c r="HW3663" s="29"/>
      <c r="HX3663" s="29"/>
      <c r="HY3663" s="29"/>
      <c r="HZ3663" s="29"/>
      <c r="IA3663" s="29"/>
      <c r="IB3663" s="29"/>
      <c r="IC3663" s="29"/>
      <c r="ID3663" s="29"/>
      <c r="IE3663" s="29"/>
      <c r="IF3663" s="29"/>
      <c r="IG3663" s="29"/>
      <c r="IH3663" s="29"/>
      <c r="II3663" s="29"/>
      <c r="IJ3663" s="29"/>
      <c r="IK3663" s="29"/>
      <c r="IL3663" s="29"/>
      <c r="IM3663" s="29"/>
      <c r="IN3663" s="29"/>
      <c r="IO3663" s="29"/>
      <c r="IP3663" s="29"/>
      <c r="IQ3663" s="29"/>
      <c r="IR3663" s="29"/>
      <c r="IS3663" s="29"/>
      <c r="IT3663" s="29"/>
      <c r="IU3663" s="29"/>
      <c r="IV3663" s="29"/>
      <c r="IW3663" s="29"/>
      <c r="IX3663" s="29"/>
      <c r="IY3663" s="29"/>
      <c r="IZ3663" s="29"/>
      <c r="JA3663" s="29"/>
      <c r="JB3663" s="29"/>
    </row>
    <row r="3664" spans="1:262" s="28" customFormat="1">
      <c r="A3664" s="29"/>
      <c r="B3664" s="29"/>
      <c r="C3664" s="29"/>
      <c r="D3664" s="29"/>
      <c r="E3664" s="29"/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GK3664" s="29"/>
      <c r="GL3664" s="29"/>
      <c r="GM3664" s="29"/>
      <c r="GN3664" s="29"/>
      <c r="GO3664" s="29"/>
      <c r="GP3664" s="29"/>
      <c r="GQ3664" s="29"/>
      <c r="GR3664" s="29"/>
      <c r="GS3664" s="29"/>
      <c r="GT3664" s="29"/>
      <c r="GU3664" s="29"/>
      <c r="GV3664" s="29"/>
      <c r="GW3664" s="29"/>
      <c r="GX3664" s="29"/>
      <c r="GY3664" s="29"/>
      <c r="GZ3664" s="29"/>
      <c r="HA3664" s="29"/>
      <c r="HB3664" s="29"/>
      <c r="HC3664" s="29"/>
      <c r="HD3664" s="29"/>
      <c r="HE3664" s="29"/>
      <c r="HF3664" s="29"/>
      <c r="HG3664" s="29"/>
      <c r="HH3664" s="29"/>
      <c r="HI3664" s="29"/>
      <c r="HJ3664" s="29"/>
      <c r="HK3664" s="29"/>
      <c r="HL3664" s="29"/>
      <c r="HM3664" s="29"/>
      <c r="HN3664" s="29"/>
      <c r="HO3664" s="29"/>
      <c r="HP3664" s="29"/>
      <c r="HQ3664" s="29"/>
      <c r="HR3664" s="29"/>
      <c r="HS3664" s="29"/>
      <c r="HT3664" s="29"/>
      <c r="HU3664" s="29"/>
      <c r="HV3664" s="29"/>
      <c r="HW3664" s="29"/>
      <c r="HX3664" s="29"/>
      <c r="HY3664" s="29"/>
      <c r="HZ3664" s="29"/>
      <c r="IA3664" s="29"/>
      <c r="IB3664" s="29"/>
      <c r="IC3664" s="29"/>
      <c r="ID3664" s="29"/>
      <c r="IE3664" s="29"/>
      <c r="IF3664" s="29"/>
      <c r="IG3664" s="29"/>
      <c r="IH3664" s="29"/>
      <c r="II3664" s="29"/>
      <c r="IJ3664" s="29"/>
      <c r="IK3664" s="29"/>
      <c r="IL3664" s="29"/>
      <c r="IM3664" s="29"/>
      <c r="IN3664" s="29"/>
      <c r="IO3664" s="29"/>
      <c r="IP3664" s="29"/>
      <c r="IQ3664" s="29"/>
      <c r="IR3664" s="29"/>
      <c r="IS3664" s="29"/>
      <c r="IT3664" s="29"/>
      <c r="IU3664" s="29"/>
      <c r="IV3664" s="29"/>
      <c r="IW3664" s="29"/>
      <c r="IX3664" s="29"/>
      <c r="IY3664" s="29"/>
      <c r="IZ3664" s="29"/>
      <c r="JA3664" s="29"/>
      <c r="JB3664" s="29"/>
    </row>
    <row r="3665" spans="1:262" s="28" customFormat="1">
      <c r="A3665" s="29"/>
      <c r="B3665" s="29"/>
      <c r="C3665" s="29"/>
      <c r="D3665" s="29"/>
      <c r="E3665" s="29"/>
      <c r="F3665" s="29"/>
      <c r="G3665" s="29"/>
      <c r="H3665" s="29"/>
      <c r="I3665" s="29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GK3665" s="29"/>
      <c r="GL3665" s="29"/>
      <c r="GM3665" s="29"/>
      <c r="GN3665" s="29"/>
      <c r="GO3665" s="29"/>
      <c r="GP3665" s="29"/>
      <c r="GQ3665" s="29"/>
      <c r="GR3665" s="29"/>
      <c r="GS3665" s="29"/>
      <c r="GT3665" s="29"/>
      <c r="GU3665" s="29"/>
      <c r="GV3665" s="29"/>
      <c r="GW3665" s="29"/>
      <c r="GX3665" s="29"/>
      <c r="GY3665" s="29"/>
      <c r="GZ3665" s="29"/>
      <c r="HA3665" s="29"/>
      <c r="HB3665" s="29"/>
      <c r="HC3665" s="29"/>
      <c r="HD3665" s="29"/>
      <c r="HE3665" s="29"/>
      <c r="HF3665" s="29"/>
      <c r="HG3665" s="29"/>
      <c r="HH3665" s="29"/>
      <c r="HI3665" s="29"/>
      <c r="HJ3665" s="29"/>
      <c r="HK3665" s="29"/>
      <c r="HL3665" s="29"/>
      <c r="HM3665" s="29"/>
      <c r="HN3665" s="29"/>
      <c r="HO3665" s="29"/>
      <c r="HP3665" s="29"/>
      <c r="HQ3665" s="29"/>
      <c r="HR3665" s="29"/>
      <c r="HS3665" s="29"/>
      <c r="HT3665" s="29"/>
      <c r="HU3665" s="29"/>
      <c r="HV3665" s="29"/>
      <c r="HW3665" s="29"/>
      <c r="HX3665" s="29"/>
      <c r="HY3665" s="29"/>
      <c r="HZ3665" s="29"/>
      <c r="IA3665" s="29"/>
      <c r="IB3665" s="29"/>
      <c r="IC3665" s="29"/>
      <c r="ID3665" s="29"/>
      <c r="IE3665" s="29"/>
      <c r="IF3665" s="29"/>
      <c r="IG3665" s="29"/>
      <c r="IH3665" s="29"/>
      <c r="II3665" s="29"/>
      <c r="IJ3665" s="29"/>
      <c r="IK3665" s="29"/>
      <c r="IL3665" s="29"/>
      <c r="IM3665" s="29"/>
      <c r="IN3665" s="29"/>
      <c r="IO3665" s="29"/>
      <c r="IP3665" s="29"/>
      <c r="IQ3665" s="29"/>
      <c r="IR3665" s="29"/>
      <c r="IS3665" s="29"/>
      <c r="IT3665" s="29"/>
      <c r="IU3665" s="29"/>
      <c r="IV3665" s="29"/>
      <c r="IW3665" s="29"/>
      <c r="IX3665" s="29"/>
      <c r="IY3665" s="29"/>
      <c r="IZ3665" s="29"/>
      <c r="JA3665" s="29"/>
      <c r="JB3665" s="29"/>
    </row>
    <row r="3666" spans="1:262" s="28" customFormat="1">
      <c r="A3666" s="29"/>
      <c r="B3666" s="29"/>
      <c r="C3666" s="29"/>
      <c r="D3666" s="29"/>
      <c r="E3666" s="29"/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GK3666" s="29"/>
      <c r="GL3666" s="29"/>
      <c r="GM3666" s="29"/>
      <c r="GN3666" s="29"/>
      <c r="GO3666" s="29"/>
      <c r="GP3666" s="29"/>
      <c r="GQ3666" s="29"/>
      <c r="GR3666" s="29"/>
      <c r="GS3666" s="29"/>
      <c r="GT3666" s="29"/>
      <c r="GU3666" s="29"/>
      <c r="GV3666" s="29"/>
      <c r="GW3666" s="29"/>
      <c r="GX3666" s="29"/>
      <c r="GY3666" s="29"/>
      <c r="GZ3666" s="29"/>
      <c r="HA3666" s="29"/>
      <c r="HB3666" s="29"/>
      <c r="HC3666" s="29"/>
      <c r="HD3666" s="29"/>
      <c r="HE3666" s="29"/>
      <c r="HF3666" s="29"/>
      <c r="HG3666" s="29"/>
      <c r="HH3666" s="29"/>
      <c r="HI3666" s="29"/>
      <c r="HJ3666" s="29"/>
      <c r="HK3666" s="29"/>
      <c r="HL3666" s="29"/>
      <c r="HM3666" s="29"/>
      <c r="HN3666" s="29"/>
      <c r="HO3666" s="29"/>
      <c r="HP3666" s="29"/>
      <c r="HQ3666" s="29"/>
      <c r="HR3666" s="29"/>
      <c r="HS3666" s="29"/>
      <c r="HT3666" s="29"/>
      <c r="HU3666" s="29"/>
      <c r="HV3666" s="29"/>
      <c r="HW3666" s="29"/>
      <c r="HX3666" s="29"/>
      <c r="HY3666" s="29"/>
      <c r="HZ3666" s="29"/>
      <c r="IA3666" s="29"/>
      <c r="IB3666" s="29"/>
      <c r="IC3666" s="29"/>
      <c r="ID3666" s="29"/>
      <c r="IE3666" s="29"/>
      <c r="IF3666" s="29"/>
      <c r="IG3666" s="29"/>
      <c r="IH3666" s="29"/>
      <c r="II3666" s="29"/>
      <c r="IJ3666" s="29"/>
      <c r="IK3666" s="29"/>
      <c r="IL3666" s="29"/>
      <c r="IM3666" s="29"/>
      <c r="IN3666" s="29"/>
      <c r="IO3666" s="29"/>
      <c r="IP3666" s="29"/>
      <c r="IQ3666" s="29"/>
      <c r="IR3666" s="29"/>
      <c r="IS3666" s="29"/>
      <c r="IT3666" s="29"/>
      <c r="IU3666" s="29"/>
      <c r="IV3666" s="29"/>
      <c r="IW3666" s="29"/>
      <c r="IX3666" s="29"/>
      <c r="IY3666" s="29"/>
      <c r="IZ3666" s="29"/>
      <c r="JA3666" s="29"/>
      <c r="JB3666" s="29"/>
    </row>
    <row r="3667" spans="1:262" s="28" customFormat="1">
      <c r="A3667" s="29"/>
      <c r="B3667" s="29"/>
      <c r="C3667" s="29"/>
      <c r="D3667" s="29"/>
      <c r="E3667" s="29"/>
      <c r="F3667" s="29"/>
      <c r="G3667" s="29"/>
      <c r="H3667" s="29"/>
      <c r="I3667" s="29"/>
      <c r="J3667" s="29"/>
      <c r="K3667" s="29"/>
      <c r="L3667" s="29"/>
      <c r="M3667" s="29"/>
      <c r="N3667" s="29"/>
      <c r="O3667" s="29"/>
      <c r="P3667" s="29"/>
      <c r="Q3667" s="29"/>
      <c r="R3667" s="29"/>
      <c r="S3667" s="29"/>
      <c r="T3667" s="29"/>
      <c r="U3667" s="29"/>
      <c r="V3667" s="29"/>
      <c r="GK3667" s="29"/>
      <c r="GL3667" s="29"/>
      <c r="GM3667" s="29"/>
      <c r="GN3667" s="29"/>
      <c r="GO3667" s="29"/>
      <c r="GP3667" s="29"/>
      <c r="GQ3667" s="29"/>
      <c r="GR3667" s="29"/>
      <c r="GS3667" s="29"/>
      <c r="GT3667" s="29"/>
      <c r="GU3667" s="29"/>
      <c r="GV3667" s="29"/>
      <c r="GW3667" s="29"/>
      <c r="GX3667" s="29"/>
      <c r="GY3667" s="29"/>
      <c r="GZ3667" s="29"/>
      <c r="HA3667" s="29"/>
      <c r="HB3667" s="29"/>
      <c r="HC3667" s="29"/>
      <c r="HD3667" s="29"/>
      <c r="HE3667" s="29"/>
      <c r="HF3667" s="29"/>
      <c r="HG3667" s="29"/>
      <c r="HH3667" s="29"/>
      <c r="HI3667" s="29"/>
      <c r="HJ3667" s="29"/>
      <c r="HK3667" s="29"/>
      <c r="HL3667" s="29"/>
      <c r="HM3667" s="29"/>
      <c r="HN3667" s="29"/>
      <c r="HO3667" s="29"/>
      <c r="HP3667" s="29"/>
      <c r="HQ3667" s="29"/>
      <c r="HR3667" s="29"/>
      <c r="HS3667" s="29"/>
      <c r="HT3667" s="29"/>
      <c r="HU3667" s="29"/>
      <c r="HV3667" s="29"/>
      <c r="HW3667" s="29"/>
      <c r="HX3667" s="29"/>
      <c r="HY3667" s="29"/>
      <c r="HZ3667" s="29"/>
      <c r="IA3667" s="29"/>
      <c r="IB3667" s="29"/>
      <c r="IC3667" s="29"/>
      <c r="ID3667" s="29"/>
      <c r="IE3667" s="29"/>
      <c r="IF3667" s="29"/>
      <c r="IG3667" s="29"/>
      <c r="IH3667" s="29"/>
      <c r="II3667" s="29"/>
      <c r="IJ3667" s="29"/>
      <c r="IK3667" s="29"/>
      <c r="IL3667" s="29"/>
      <c r="IM3667" s="29"/>
      <c r="IN3667" s="29"/>
      <c r="IO3667" s="29"/>
      <c r="IP3667" s="29"/>
      <c r="IQ3667" s="29"/>
      <c r="IR3667" s="29"/>
      <c r="IS3667" s="29"/>
      <c r="IT3667" s="29"/>
      <c r="IU3667" s="29"/>
      <c r="IV3667" s="29"/>
      <c r="IW3667" s="29"/>
      <c r="IX3667" s="29"/>
      <c r="IY3667" s="29"/>
      <c r="IZ3667" s="29"/>
      <c r="JA3667" s="29"/>
      <c r="JB3667" s="29"/>
    </row>
    <row r="3668" spans="1:262" s="28" customFormat="1">
      <c r="A3668" s="29"/>
      <c r="B3668" s="29"/>
      <c r="C3668" s="29"/>
      <c r="D3668" s="29"/>
      <c r="E3668" s="29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GK3668" s="29"/>
      <c r="GL3668" s="29"/>
      <c r="GM3668" s="29"/>
      <c r="GN3668" s="29"/>
      <c r="GO3668" s="29"/>
      <c r="GP3668" s="29"/>
      <c r="GQ3668" s="29"/>
      <c r="GR3668" s="29"/>
      <c r="GS3668" s="29"/>
      <c r="GT3668" s="29"/>
      <c r="GU3668" s="29"/>
      <c r="GV3668" s="29"/>
      <c r="GW3668" s="29"/>
      <c r="GX3668" s="29"/>
      <c r="GY3668" s="29"/>
      <c r="GZ3668" s="29"/>
      <c r="HA3668" s="29"/>
      <c r="HB3668" s="29"/>
      <c r="HC3668" s="29"/>
      <c r="HD3668" s="29"/>
      <c r="HE3668" s="29"/>
      <c r="HF3668" s="29"/>
      <c r="HG3668" s="29"/>
      <c r="HH3668" s="29"/>
      <c r="HI3668" s="29"/>
      <c r="HJ3668" s="29"/>
      <c r="HK3668" s="29"/>
      <c r="HL3668" s="29"/>
      <c r="HM3668" s="29"/>
      <c r="HN3668" s="29"/>
      <c r="HO3668" s="29"/>
      <c r="HP3668" s="29"/>
      <c r="HQ3668" s="29"/>
      <c r="HR3668" s="29"/>
      <c r="HS3668" s="29"/>
      <c r="HT3668" s="29"/>
      <c r="HU3668" s="29"/>
      <c r="HV3668" s="29"/>
      <c r="HW3668" s="29"/>
      <c r="HX3668" s="29"/>
      <c r="HY3668" s="29"/>
      <c r="HZ3668" s="29"/>
      <c r="IA3668" s="29"/>
      <c r="IB3668" s="29"/>
      <c r="IC3668" s="29"/>
      <c r="ID3668" s="29"/>
      <c r="IE3668" s="29"/>
      <c r="IF3668" s="29"/>
      <c r="IG3668" s="29"/>
      <c r="IH3668" s="29"/>
      <c r="II3668" s="29"/>
      <c r="IJ3668" s="29"/>
      <c r="IK3668" s="29"/>
      <c r="IL3668" s="29"/>
      <c r="IM3668" s="29"/>
      <c r="IN3668" s="29"/>
      <c r="IO3668" s="29"/>
      <c r="IP3668" s="29"/>
      <c r="IQ3668" s="29"/>
      <c r="IR3668" s="29"/>
      <c r="IS3668" s="29"/>
      <c r="IT3668" s="29"/>
      <c r="IU3668" s="29"/>
      <c r="IV3668" s="29"/>
      <c r="IW3668" s="29"/>
      <c r="IX3668" s="29"/>
      <c r="IY3668" s="29"/>
      <c r="IZ3668" s="29"/>
      <c r="JA3668" s="29"/>
      <c r="JB3668" s="29"/>
    </row>
    <row r="3669" spans="1:262" s="28" customFormat="1">
      <c r="A3669" s="29"/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GK3669" s="29"/>
      <c r="GL3669" s="29"/>
      <c r="GM3669" s="29"/>
      <c r="GN3669" s="29"/>
      <c r="GO3669" s="29"/>
      <c r="GP3669" s="29"/>
      <c r="GQ3669" s="29"/>
      <c r="GR3669" s="29"/>
      <c r="GS3669" s="29"/>
      <c r="GT3669" s="29"/>
      <c r="GU3669" s="29"/>
      <c r="GV3669" s="29"/>
      <c r="GW3669" s="29"/>
      <c r="GX3669" s="29"/>
      <c r="GY3669" s="29"/>
      <c r="GZ3669" s="29"/>
      <c r="HA3669" s="29"/>
      <c r="HB3669" s="29"/>
      <c r="HC3669" s="29"/>
      <c r="HD3669" s="29"/>
      <c r="HE3669" s="29"/>
      <c r="HF3669" s="29"/>
      <c r="HG3669" s="29"/>
      <c r="HH3669" s="29"/>
      <c r="HI3669" s="29"/>
      <c r="HJ3669" s="29"/>
      <c r="HK3669" s="29"/>
      <c r="HL3669" s="29"/>
      <c r="HM3669" s="29"/>
      <c r="HN3669" s="29"/>
      <c r="HO3669" s="29"/>
      <c r="HP3669" s="29"/>
      <c r="HQ3669" s="29"/>
      <c r="HR3669" s="29"/>
      <c r="HS3669" s="29"/>
      <c r="HT3669" s="29"/>
      <c r="HU3669" s="29"/>
      <c r="HV3669" s="29"/>
      <c r="HW3669" s="29"/>
      <c r="HX3669" s="29"/>
      <c r="HY3669" s="29"/>
      <c r="HZ3669" s="29"/>
      <c r="IA3669" s="29"/>
      <c r="IB3669" s="29"/>
      <c r="IC3669" s="29"/>
      <c r="ID3669" s="29"/>
      <c r="IE3669" s="29"/>
      <c r="IF3669" s="29"/>
      <c r="IG3669" s="29"/>
      <c r="IH3669" s="29"/>
      <c r="II3669" s="29"/>
      <c r="IJ3669" s="29"/>
      <c r="IK3669" s="29"/>
      <c r="IL3669" s="29"/>
      <c r="IM3669" s="29"/>
      <c r="IN3669" s="29"/>
      <c r="IO3669" s="29"/>
      <c r="IP3669" s="29"/>
      <c r="IQ3669" s="29"/>
      <c r="IR3669" s="29"/>
      <c r="IS3669" s="29"/>
      <c r="IT3669" s="29"/>
      <c r="IU3669" s="29"/>
      <c r="IV3669" s="29"/>
      <c r="IW3669" s="29"/>
      <c r="IX3669" s="29"/>
      <c r="IY3669" s="29"/>
      <c r="IZ3669" s="29"/>
      <c r="JA3669" s="29"/>
      <c r="JB3669" s="29"/>
    </row>
    <row r="3670" spans="1:262" s="28" customFormat="1">
      <c r="A3670" s="29"/>
      <c r="B3670" s="29"/>
      <c r="C3670" s="29"/>
      <c r="D3670" s="29"/>
      <c r="E3670" s="29"/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  <c r="P3670" s="29"/>
      <c r="Q3670" s="29"/>
      <c r="R3670" s="29"/>
      <c r="S3670" s="29"/>
      <c r="T3670" s="29"/>
      <c r="U3670" s="29"/>
      <c r="V3670" s="29"/>
      <c r="GK3670" s="29"/>
      <c r="GL3670" s="29"/>
      <c r="GM3670" s="29"/>
      <c r="GN3670" s="29"/>
      <c r="GO3670" s="29"/>
      <c r="GP3670" s="29"/>
      <c r="GQ3670" s="29"/>
      <c r="GR3670" s="29"/>
      <c r="GS3670" s="29"/>
      <c r="GT3670" s="29"/>
      <c r="GU3670" s="29"/>
      <c r="GV3670" s="29"/>
      <c r="GW3670" s="29"/>
      <c r="GX3670" s="29"/>
      <c r="GY3670" s="29"/>
      <c r="GZ3670" s="29"/>
      <c r="HA3670" s="29"/>
      <c r="HB3670" s="29"/>
      <c r="HC3670" s="29"/>
      <c r="HD3670" s="29"/>
      <c r="HE3670" s="29"/>
      <c r="HF3670" s="29"/>
      <c r="HG3670" s="29"/>
      <c r="HH3670" s="29"/>
      <c r="HI3670" s="29"/>
      <c r="HJ3670" s="29"/>
      <c r="HK3670" s="29"/>
      <c r="HL3670" s="29"/>
      <c r="HM3670" s="29"/>
      <c r="HN3670" s="29"/>
      <c r="HO3670" s="29"/>
      <c r="HP3670" s="29"/>
      <c r="HQ3670" s="29"/>
      <c r="HR3670" s="29"/>
      <c r="HS3670" s="29"/>
      <c r="HT3670" s="29"/>
      <c r="HU3670" s="29"/>
      <c r="HV3670" s="29"/>
      <c r="HW3670" s="29"/>
      <c r="HX3670" s="29"/>
      <c r="HY3670" s="29"/>
      <c r="HZ3670" s="29"/>
      <c r="IA3670" s="29"/>
      <c r="IB3670" s="29"/>
      <c r="IC3670" s="29"/>
      <c r="ID3670" s="29"/>
      <c r="IE3670" s="29"/>
      <c r="IF3670" s="29"/>
      <c r="IG3670" s="29"/>
      <c r="IH3670" s="29"/>
      <c r="II3670" s="29"/>
      <c r="IJ3670" s="29"/>
      <c r="IK3670" s="29"/>
      <c r="IL3670" s="29"/>
      <c r="IM3670" s="29"/>
      <c r="IN3670" s="29"/>
      <c r="IO3670" s="29"/>
      <c r="IP3670" s="29"/>
      <c r="IQ3670" s="29"/>
      <c r="IR3670" s="29"/>
      <c r="IS3670" s="29"/>
      <c r="IT3670" s="29"/>
      <c r="IU3670" s="29"/>
      <c r="IV3670" s="29"/>
      <c r="IW3670" s="29"/>
      <c r="IX3670" s="29"/>
      <c r="IY3670" s="29"/>
      <c r="IZ3670" s="29"/>
      <c r="JA3670" s="29"/>
      <c r="JB3670" s="29"/>
    </row>
    <row r="3671" spans="1:262" s="28" customFormat="1">
      <c r="A3671" s="29"/>
      <c r="B3671" s="29"/>
      <c r="C3671" s="29"/>
      <c r="D3671" s="29"/>
      <c r="E3671" s="29"/>
      <c r="F3671" s="29"/>
      <c r="G3671" s="29"/>
      <c r="H3671" s="29"/>
      <c r="I3671" s="29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GK3671" s="29"/>
      <c r="GL3671" s="29"/>
      <c r="GM3671" s="29"/>
      <c r="GN3671" s="29"/>
      <c r="GO3671" s="29"/>
      <c r="GP3671" s="29"/>
      <c r="GQ3671" s="29"/>
      <c r="GR3671" s="29"/>
      <c r="GS3671" s="29"/>
      <c r="GT3671" s="29"/>
      <c r="GU3671" s="29"/>
      <c r="GV3671" s="29"/>
      <c r="GW3671" s="29"/>
      <c r="GX3671" s="29"/>
      <c r="GY3671" s="29"/>
      <c r="GZ3671" s="29"/>
      <c r="HA3671" s="29"/>
      <c r="HB3671" s="29"/>
      <c r="HC3671" s="29"/>
      <c r="HD3671" s="29"/>
      <c r="HE3671" s="29"/>
      <c r="HF3671" s="29"/>
      <c r="HG3671" s="29"/>
      <c r="HH3671" s="29"/>
      <c r="HI3671" s="29"/>
      <c r="HJ3671" s="29"/>
      <c r="HK3671" s="29"/>
      <c r="HL3671" s="29"/>
      <c r="HM3671" s="29"/>
      <c r="HN3671" s="29"/>
      <c r="HO3671" s="29"/>
      <c r="HP3671" s="29"/>
      <c r="HQ3671" s="29"/>
      <c r="HR3671" s="29"/>
      <c r="HS3671" s="29"/>
      <c r="HT3671" s="29"/>
      <c r="HU3671" s="29"/>
      <c r="HV3671" s="29"/>
      <c r="HW3671" s="29"/>
      <c r="HX3671" s="29"/>
      <c r="HY3671" s="29"/>
      <c r="HZ3671" s="29"/>
      <c r="IA3671" s="29"/>
      <c r="IB3671" s="29"/>
      <c r="IC3671" s="29"/>
      <c r="ID3671" s="29"/>
      <c r="IE3671" s="29"/>
      <c r="IF3671" s="29"/>
      <c r="IG3671" s="29"/>
      <c r="IH3671" s="29"/>
      <c r="II3671" s="29"/>
      <c r="IJ3671" s="29"/>
      <c r="IK3671" s="29"/>
      <c r="IL3671" s="29"/>
      <c r="IM3671" s="29"/>
      <c r="IN3671" s="29"/>
      <c r="IO3671" s="29"/>
      <c r="IP3671" s="29"/>
      <c r="IQ3671" s="29"/>
      <c r="IR3671" s="29"/>
      <c r="IS3671" s="29"/>
      <c r="IT3671" s="29"/>
      <c r="IU3671" s="29"/>
      <c r="IV3671" s="29"/>
      <c r="IW3671" s="29"/>
      <c r="IX3671" s="29"/>
      <c r="IY3671" s="29"/>
      <c r="IZ3671" s="29"/>
      <c r="JA3671" s="29"/>
      <c r="JB3671" s="29"/>
    </row>
    <row r="3672" spans="1:262" s="28" customFormat="1">
      <c r="A3672" s="29"/>
      <c r="B3672" s="29"/>
      <c r="C3672" s="29"/>
      <c r="D3672" s="29"/>
      <c r="E3672" s="29"/>
      <c r="F3672" s="29"/>
      <c r="G3672" s="29"/>
      <c r="H3672" s="29"/>
      <c r="I3672" s="29"/>
      <c r="J3672" s="29"/>
      <c r="K3672" s="29"/>
      <c r="L3672" s="29"/>
      <c r="M3672" s="29"/>
      <c r="N3672" s="29"/>
      <c r="O3672" s="29"/>
      <c r="P3672" s="29"/>
      <c r="Q3672" s="29"/>
      <c r="R3672" s="29"/>
      <c r="S3672" s="29"/>
      <c r="T3672" s="29"/>
      <c r="U3672" s="29"/>
      <c r="V3672" s="29"/>
      <c r="GK3672" s="29"/>
      <c r="GL3672" s="29"/>
      <c r="GM3672" s="29"/>
      <c r="GN3672" s="29"/>
      <c r="GO3672" s="29"/>
      <c r="GP3672" s="29"/>
      <c r="GQ3672" s="29"/>
      <c r="GR3672" s="29"/>
      <c r="GS3672" s="29"/>
      <c r="GT3672" s="29"/>
      <c r="GU3672" s="29"/>
      <c r="GV3672" s="29"/>
      <c r="GW3672" s="29"/>
      <c r="GX3672" s="29"/>
      <c r="GY3672" s="29"/>
      <c r="GZ3672" s="29"/>
      <c r="HA3672" s="29"/>
      <c r="HB3672" s="29"/>
      <c r="HC3672" s="29"/>
      <c r="HD3672" s="29"/>
      <c r="HE3672" s="29"/>
      <c r="HF3672" s="29"/>
      <c r="HG3672" s="29"/>
      <c r="HH3672" s="29"/>
      <c r="HI3672" s="29"/>
      <c r="HJ3672" s="29"/>
      <c r="HK3672" s="29"/>
      <c r="HL3672" s="29"/>
      <c r="HM3672" s="29"/>
      <c r="HN3672" s="29"/>
      <c r="HO3672" s="29"/>
      <c r="HP3672" s="29"/>
      <c r="HQ3672" s="29"/>
      <c r="HR3672" s="29"/>
      <c r="HS3672" s="29"/>
      <c r="HT3672" s="29"/>
      <c r="HU3672" s="29"/>
      <c r="HV3672" s="29"/>
      <c r="HW3672" s="29"/>
      <c r="HX3672" s="29"/>
      <c r="HY3672" s="29"/>
      <c r="HZ3672" s="29"/>
      <c r="IA3672" s="29"/>
      <c r="IB3672" s="29"/>
      <c r="IC3672" s="29"/>
      <c r="ID3672" s="29"/>
      <c r="IE3672" s="29"/>
      <c r="IF3672" s="29"/>
      <c r="IG3672" s="29"/>
      <c r="IH3672" s="29"/>
      <c r="II3672" s="29"/>
      <c r="IJ3672" s="29"/>
      <c r="IK3672" s="29"/>
      <c r="IL3672" s="29"/>
      <c r="IM3672" s="29"/>
      <c r="IN3672" s="29"/>
      <c r="IO3672" s="29"/>
      <c r="IP3672" s="29"/>
      <c r="IQ3672" s="29"/>
      <c r="IR3672" s="29"/>
      <c r="IS3672" s="29"/>
      <c r="IT3672" s="29"/>
      <c r="IU3672" s="29"/>
      <c r="IV3672" s="29"/>
      <c r="IW3672" s="29"/>
      <c r="IX3672" s="29"/>
      <c r="IY3672" s="29"/>
      <c r="IZ3672" s="29"/>
      <c r="JA3672" s="29"/>
      <c r="JB3672" s="29"/>
    </row>
    <row r="3673" spans="1:262" s="28" customFormat="1">
      <c r="A3673" s="29"/>
      <c r="B3673" s="29"/>
      <c r="C3673" s="29"/>
      <c r="D3673" s="29"/>
      <c r="E3673" s="29"/>
      <c r="F3673" s="29"/>
      <c r="G3673" s="29"/>
      <c r="H3673" s="29"/>
      <c r="I3673" s="29"/>
      <c r="J3673" s="29"/>
      <c r="K3673" s="29"/>
      <c r="L3673" s="29"/>
      <c r="M3673" s="29"/>
      <c r="N3673" s="29"/>
      <c r="O3673" s="29"/>
      <c r="P3673" s="29"/>
      <c r="Q3673" s="29"/>
      <c r="R3673" s="29"/>
      <c r="S3673" s="29"/>
      <c r="T3673" s="29"/>
      <c r="U3673" s="29"/>
      <c r="V3673" s="29"/>
      <c r="GK3673" s="29"/>
      <c r="GL3673" s="29"/>
      <c r="GM3673" s="29"/>
      <c r="GN3673" s="29"/>
      <c r="GO3673" s="29"/>
      <c r="GP3673" s="29"/>
      <c r="GQ3673" s="29"/>
      <c r="GR3673" s="29"/>
      <c r="GS3673" s="29"/>
      <c r="GT3673" s="29"/>
      <c r="GU3673" s="29"/>
      <c r="GV3673" s="29"/>
      <c r="GW3673" s="29"/>
      <c r="GX3673" s="29"/>
      <c r="GY3673" s="29"/>
      <c r="GZ3673" s="29"/>
      <c r="HA3673" s="29"/>
      <c r="HB3673" s="29"/>
      <c r="HC3673" s="29"/>
      <c r="HD3673" s="29"/>
      <c r="HE3673" s="29"/>
      <c r="HF3673" s="29"/>
      <c r="HG3673" s="29"/>
      <c r="HH3673" s="29"/>
      <c r="HI3673" s="29"/>
      <c r="HJ3673" s="29"/>
      <c r="HK3673" s="29"/>
      <c r="HL3673" s="29"/>
      <c r="HM3673" s="29"/>
      <c r="HN3673" s="29"/>
      <c r="HO3673" s="29"/>
      <c r="HP3673" s="29"/>
      <c r="HQ3673" s="29"/>
      <c r="HR3673" s="29"/>
      <c r="HS3673" s="29"/>
      <c r="HT3673" s="29"/>
      <c r="HU3673" s="29"/>
      <c r="HV3673" s="29"/>
      <c r="HW3673" s="29"/>
      <c r="HX3673" s="29"/>
      <c r="HY3673" s="29"/>
      <c r="HZ3673" s="29"/>
      <c r="IA3673" s="29"/>
      <c r="IB3673" s="29"/>
      <c r="IC3673" s="29"/>
      <c r="ID3673" s="29"/>
      <c r="IE3673" s="29"/>
      <c r="IF3673" s="29"/>
      <c r="IG3673" s="29"/>
      <c r="IH3673" s="29"/>
      <c r="II3673" s="29"/>
      <c r="IJ3673" s="29"/>
      <c r="IK3673" s="29"/>
      <c r="IL3673" s="29"/>
      <c r="IM3673" s="29"/>
      <c r="IN3673" s="29"/>
      <c r="IO3673" s="29"/>
      <c r="IP3673" s="29"/>
      <c r="IQ3673" s="29"/>
      <c r="IR3673" s="29"/>
      <c r="IS3673" s="29"/>
      <c r="IT3673" s="29"/>
      <c r="IU3673" s="29"/>
      <c r="IV3673" s="29"/>
      <c r="IW3673" s="29"/>
      <c r="IX3673" s="29"/>
      <c r="IY3673" s="29"/>
      <c r="IZ3673" s="29"/>
      <c r="JA3673" s="29"/>
      <c r="JB3673" s="29"/>
    </row>
    <row r="3674" spans="1:262" s="28" customFormat="1">
      <c r="A3674" s="29"/>
      <c r="B3674" s="29"/>
      <c r="C3674" s="29"/>
      <c r="D3674" s="29"/>
      <c r="E3674" s="29"/>
      <c r="F3674" s="29"/>
      <c r="G3674" s="29"/>
      <c r="H3674" s="29"/>
      <c r="I3674" s="29"/>
      <c r="J3674" s="29"/>
      <c r="K3674" s="29"/>
      <c r="L3674" s="29"/>
      <c r="M3674" s="29"/>
      <c r="N3674" s="29"/>
      <c r="O3674" s="29"/>
      <c r="P3674" s="29"/>
      <c r="Q3674" s="29"/>
      <c r="R3674" s="29"/>
      <c r="S3674" s="29"/>
      <c r="T3674" s="29"/>
      <c r="U3674" s="29"/>
      <c r="V3674" s="29"/>
      <c r="GK3674" s="29"/>
      <c r="GL3674" s="29"/>
      <c r="GM3674" s="29"/>
      <c r="GN3674" s="29"/>
      <c r="GO3674" s="29"/>
      <c r="GP3674" s="29"/>
      <c r="GQ3674" s="29"/>
      <c r="GR3674" s="29"/>
      <c r="GS3674" s="29"/>
      <c r="GT3674" s="29"/>
      <c r="GU3674" s="29"/>
      <c r="GV3674" s="29"/>
      <c r="GW3674" s="29"/>
      <c r="GX3674" s="29"/>
      <c r="GY3674" s="29"/>
      <c r="GZ3674" s="29"/>
      <c r="HA3674" s="29"/>
      <c r="HB3674" s="29"/>
      <c r="HC3674" s="29"/>
      <c r="HD3674" s="29"/>
      <c r="HE3674" s="29"/>
      <c r="HF3674" s="29"/>
      <c r="HG3674" s="29"/>
      <c r="HH3674" s="29"/>
      <c r="HI3674" s="29"/>
      <c r="HJ3674" s="29"/>
      <c r="HK3674" s="29"/>
      <c r="HL3674" s="29"/>
      <c r="HM3674" s="29"/>
      <c r="HN3674" s="29"/>
      <c r="HO3674" s="29"/>
      <c r="HP3674" s="29"/>
      <c r="HQ3674" s="29"/>
      <c r="HR3674" s="29"/>
      <c r="HS3674" s="29"/>
      <c r="HT3674" s="29"/>
      <c r="HU3674" s="29"/>
      <c r="HV3674" s="29"/>
      <c r="HW3674" s="29"/>
      <c r="HX3674" s="29"/>
      <c r="HY3674" s="29"/>
      <c r="HZ3674" s="29"/>
      <c r="IA3674" s="29"/>
      <c r="IB3674" s="29"/>
      <c r="IC3674" s="29"/>
      <c r="ID3674" s="29"/>
      <c r="IE3674" s="29"/>
      <c r="IF3674" s="29"/>
      <c r="IG3674" s="29"/>
      <c r="IH3674" s="29"/>
      <c r="II3674" s="29"/>
      <c r="IJ3674" s="29"/>
      <c r="IK3674" s="29"/>
      <c r="IL3674" s="29"/>
      <c r="IM3674" s="29"/>
      <c r="IN3674" s="29"/>
      <c r="IO3674" s="29"/>
      <c r="IP3674" s="29"/>
      <c r="IQ3674" s="29"/>
      <c r="IR3674" s="29"/>
      <c r="IS3674" s="29"/>
      <c r="IT3674" s="29"/>
      <c r="IU3674" s="29"/>
      <c r="IV3674" s="29"/>
      <c r="IW3674" s="29"/>
      <c r="IX3674" s="29"/>
      <c r="IY3674" s="29"/>
      <c r="IZ3674" s="29"/>
      <c r="JA3674" s="29"/>
      <c r="JB3674" s="29"/>
    </row>
    <row r="3675" spans="1:262" s="28" customFormat="1">
      <c r="A3675" s="29"/>
      <c r="B3675" s="29"/>
      <c r="C3675" s="29"/>
      <c r="D3675" s="29"/>
      <c r="E3675" s="29"/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GK3675" s="29"/>
      <c r="GL3675" s="29"/>
      <c r="GM3675" s="29"/>
      <c r="GN3675" s="29"/>
      <c r="GO3675" s="29"/>
      <c r="GP3675" s="29"/>
      <c r="GQ3675" s="29"/>
      <c r="GR3675" s="29"/>
      <c r="GS3675" s="29"/>
      <c r="GT3675" s="29"/>
      <c r="GU3675" s="29"/>
      <c r="GV3675" s="29"/>
      <c r="GW3675" s="29"/>
      <c r="GX3675" s="29"/>
      <c r="GY3675" s="29"/>
      <c r="GZ3675" s="29"/>
      <c r="HA3675" s="29"/>
      <c r="HB3675" s="29"/>
      <c r="HC3675" s="29"/>
      <c r="HD3675" s="29"/>
      <c r="HE3675" s="29"/>
      <c r="HF3675" s="29"/>
      <c r="HG3675" s="29"/>
      <c r="HH3675" s="29"/>
      <c r="HI3675" s="29"/>
      <c r="HJ3675" s="29"/>
      <c r="HK3675" s="29"/>
      <c r="HL3675" s="29"/>
      <c r="HM3675" s="29"/>
      <c r="HN3675" s="29"/>
      <c r="HO3675" s="29"/>
      <c r="HP3675" s="29"/>
      <c r="HQ3675" s="29"/>
      <c r="HR3675" s="29"/>
      <c r="HS3675" s="29"/>
      <c r="HT3675" s="29"/>
      <c r="HU3675" s="29"/>
      <c r="HV3675" s="29"/>
      <c r="HW3675" s="29"/>
      <c r="HX3675" s="29"/>
      <c r="HY3675" s="29"/>
      <c r="HZ3675" s="29"/>
      <c r="IA3675" s="29"/>
      <c r="IB3675" s="29"/>
      <c r="IC3675" s="29"/>
      <c r="ID3675" s="29"/>
      <c r="IE3675" s="29"/>
      <c r="IF3675" s="29"/>
      <c r="IG3675" s="29"/>
      <c r="IH3675" s="29"/>
      <c r="II3675" s="29"/>
      <c r="IJ3675" s="29"/>
      <c r="IK3675" s="29"/>
      <c r="IL3675" s="29"/>
      <c r="IM3675" s="29"/>
      <c r="IN3675" s="29"/>
      <c r="IO3675" s="29"/>
      <c r="IP3675" s="29"/>
      <c r="IQ3675" s="29"/>
      <c r="IR3675" s="29"/>
      <c r="IS3675" s="29"/>
      <c r="IT3675" s="29"/>
      <c r="IU3675" s="29"/>
      <c r="IV3675" s="29"/>
      <c r="IW3675" s="29"/>
      <c r="IX3675" s="29"/>
      <c r="IY3675" s="29"/>
      <c r="IZ3675" s="29"/>
      <c r="JA3675" s="29"/>
      <c r="JB3675" s="29"/>
    </row>
    <row r="3676" spans="1:262" s="28" customFormat="1">
      <c r="A3676" s="29"/>
      <c r="B3676" s="29"/>
      <c r="C3676" s="29"/>
      <c r="D3676" s="29"/>
      <c r="E3676" s="29"/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GK3676" s="29"/>
      <c r="GL3676" s="29"/>
      <c r="GM3676" s="29"/>
      <c r="GN3676" s="29"/>
      <c r="GO3676" s="29"/>
      <c r="GP3676" s="29"/>
      <c r="GQ3676" s="29"/>
      <c r="GR3676" s="29"/>
      <c r="GS3676" s="29"/>
      <c r="GT3676" s="29"/>
      <c r="GU3676" s="29"/>
      <c r="GV3676" s="29"/>
      <c r="GW3676" s="29"/>
      <c r="GX3676" s="29"/>
      <c r="GY3676" s="29"/>
      <c r="GZ3676" s="29"/>
      <c r="HA3676" s="29"/>
      <c r="HB3676" s="29"/>
      <c r="HC3676" s="29"/>
      <c r="HD3676" s="29"/>
      <c r="HE3676" s="29"/>
      <c r="HF3676" s="29"/>
      <c r="HG3676" s="29"/>
      <c r="HH3676" s="29"/>
      <c r="HI3676" s="29"/>
      <c r="HJ3676" s="29"/>
      <c r="HK3676" s="29"/>
      <c r="HL3676" s="29"/>
      <c r="HM3676" s="29"/>
      <c r="HN3676" s="29"/>
      <c r="HO3676" s="29"/>
      <c r="HP3676" s="29"/>
      <c r="HQ3676" s="29"/>
      <c r="HR3676" s="29"/>
      <c r="HS3676" s="29"/>
      <c r="HT3676" s="29"/>
      <c r="HU3676" s="29"/>
      <c r="HV3676" s="29"/>
      <c r="HW3676" s="29"/>
      <c r="HX3676" s="29"/>
      <c r="HY3676" s="29"/>
      <c r="HZ3676" s="29"/>
      <c r="IA3676" s="29"/>
      <c r="IB3676" s="29"/>
      <c r="IC3676" s="29"/>
      <c r="ID3676" s="29"/>
      <c r="IE3676" s="29"/>
      <c r="IF3676" s="29"/>
      <c r="IG3676" s="29"/>
      <c r="IH3676" s="29"/>
      <c r="II3676" s="29"/>
      <c r="IJ3676" s="29"/>
      <c r="IK3676" s="29"/>
      <c r="IL3676" s="29"/>
      <c r="IM3676" s="29"/>
      <c r="IN3676" s="29"/>
      <c r="IO3676" s="29"/>
      <c r="IP3676" s="29"/>
      <c r="IQ3676" s="29"/>
      <c r="IR3676" s="29"/>
      <c r="IS3676" s="29"/>
      <c r="IT3676" s="29"/>
      <c r="IU3676" s="29"/>
      <c r="IV3676" s="29"/>
      <c r="IW3676" s="29"/>
      <c r="IX3676" s="29"/>
      <c r="IY3676" s="29"/>
      <c r="IZ3676" s="29"/>
      <c r="JA3676" s="29"/>
      <c r="JB3676" s="29"/>
    </row>
    <row r="3677" spans="1:262" s="28" customFormat="1">
      <c r="A3677" s="29"/>
      <c r="B3677" s="29"/>
      <c r="C3677" s="29"/>
      <c r="D3677" s="29"/>
      <c r="E3677" s="29"/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GK3677" s="29"/>
      <c r="GL3677" s="29"/>
      <c r="GM3677" s="29"/>
      <c r="GN3677" s="29"/>
      <c r="GO3677" s="29"/>
      <c r="GP3677" s="29"/>
      <c r="GQ3677" s="29"/>
      <c r="GR3677" s="29"/>
      <c r="GS3677" s="29"/>
      <c r="GT3677" s="29"/>
      <c r="GU3677" s="29"/>
      <c r="GV3677" s="29"/>
      <c r="GW3677" s="29"/>
      <c r="GX3677" s="29"/>
      <c r="GY3677" s="29"/>
      <c r="GZ3677" s="29"/>
      <c r="HA3677" s="29"/>
      <c r="HB3677" s="29"/>
      <c r="HC3677" s="29"/>
      <c r="HD3677" s="29"/>
      <c r="HE3677" s="29"/>
      <c r="HF3677" s="29"/>
      <c r="HG3677" s="29"/>
      <c r="HH3677" s="29"/>
      <c r="HI3677" s="29"/>
      <c r="HJ3677" s="29"/>
      <c r="HK3677" s="29"/>
      <c r="HL3677" s="29"/>
      <c r="HM3677" s="29"/>
      <c r="HN3677" s="29"/>
      <c r="HO3677" s="29"/>
      <c r="HP3677" s="29"/>
      <c r="HQ3677" s="29"/>
      <c r="HR3677" s="29"/>
      <c r="HS3677" s="29"/>
      <c r="HT3677" s="29"/>
      <c r="HU3677" s="29"/>
      <c r="HV3677" s="29"/>
      <c r="HW3677" s="29"/>
      <c r="HX3677" s="29"/>
      <c r="HY3677" s="29"/>
      <c r="HZ3677" s="29"/>
      <c r="IA3677" s="29"/>
      <c r="IB3677" s="29"/>
      <c r="IC3677" s="29"/>
      <c r="ID3677" s="29"/>
      <c r="IE3677" s="29"/>
      <c r="IF3677" s="29"/>
      <c r="IG3677" s="29"/>
      <c r="IH3677" s="29"/>
      <c r="II3677" s="29"/>
      <c r="IJ3677" s="29"/>
      <c r="IK3677" s="29"/>
      <c r="IL3677" s="29"/>
      <c r="IM3677" s="29"/>
      <c r="IN3677" s="29"/>
      <c r="IO3677" s="29"/>
      <c r="IP3677" s="29"/>
      <c r="IQ3677" s="29"/>
      <c r="IR3677" s="29"/>
      <c r="IS3677" s="29"/>
      <c r="IT3677" s="29"/>
      <c r="IU3677" s="29"/>
      <c r="IV3677" s="29"/>
      <c r="IW3677" s="29"/>
      <c r="IX3677" s="29"/>
      <c r="IY3677" s="29"/>
      <c r="IZ3677" s="29"/>
      <c r="JA3677" s="29"/>
      <c r="JB3677" s="29"/>
    </row>
    <row r="3678" spans="1:262" s="28" customFormat="1">
      <c r="A3678" s="29"/>
      <c r="B3678" s="29"/>
      <c r="C3678" s="29"/>
      <c r="D3678" s="29"/>
      <c r="E3678" s="29"/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GK3678" s="29"/>
      <c r="GL3678" s="29"/>
      <c r="GM3678" s="29"/>
      <c r="GN3678" s="29"/>
      <c r="GO3678" s="29"/>
      <c r="GP3678" s="29"/>
      <c r="GQ3678" s="29"/>
      <c r="GR3678" s="29"/>
      <c r="GS3678" s="29"/>
      <c r="GT3678" s="29"/>
      <c r="GU3678" s="29"/>
      <c r="GV3678" s="29"/>
      <c r="GW3678" s="29"/>
      <c r="GX3678" s="29"/>
      <c r="GY3678" s="29"/>
      <c r="GZ3678" s="29"/>
      <c r="HA3678" s="29"/>
      <c r="HB3678" s="29"/>
      <c r="HC3678" s="29"/>
      <c r="HD3678" s="29"/>
      <c r="HE3678" s="29"/>
      <c r="HF3678" s="29"/>
      <c r="HG3678" s="29"/>
      <c r="HH3678" s="29"/>
      <c r="HI3678" s="29"/>
      <c r="HJ3678" s="29"/>
      <c r="HK3678" s="29"/>
      <c r="HL3678" s="29"/>
      <c r="HM3678" s="29"/>
      <c r="HN3678" s="29"/>
      <c r="HO3678" s="29"/>
      <c r="HP3678" s="29"/>
      <c r="HQ3678" s="29"/>
      <c r="HR3678" s="29"/>
      <c r="HS3678" s="29"/>
      <c r="HT3678" s="29"/>
      <c r="HU3678" s="29"/>
      <c r="HV3678" s="29"/>
      <c r="HW3678" s="29"/>
      <c r="HX3678" s="29"/>
      <c r="HY3678" s="29"/>
      <c r="HZ3678" s="29"/>
      <c r="IA3678" s="29"/>
      <c r="IB3678" s="29"/>
      <c r="IC3678" s="29"/>
      <c r="ID3678" s="29"/>
      <c r="IE3678" s="29"/>
      <c r="IF3678" s="29"/>
      <c r="IG3678" s="29"/>
      <c r="IH3678" s="29"/>
      <c r="II3678" s="29"/>
      <c r="IJ3678" s="29"/>
      <c r="IK3678" s="29"/>
      <c r="IL3678" s="29"/>
      <c r="IM3678" s="29"/>
      <c r="IN3678" s="29"/>
      <c r="IO3678" s="29"/>
      <c r="IP3678" s="29"/>
      <c r="IQ3678" s="29"/>
      <c r="IR3678" s="29"/>
      <c r="IS3678" s="29"/>
      <c r="IT3678" s="29"/>
      <c r="IU3678" s="29"/>
      <c r="IV3678" s="29"/>
      <c r="IW3678" s="29"/>
      <c r="IX3678" s="29"/>
      <c r="IY3678" s="29"/>
      <c r="IZ3678" s="29"/>
      <c r="JA3678" s="29"/>
      <c r="JB3678" s="29"/>
    </row>
    <row r="3679" spans="1:262" s="28" customFormat="1">
      <c r="A3679" s="29"/>
      <c r="B3679" s="29"/>
      <c r="C3679" s="29"/>
      <c r="D3679" s="29"/>
      <c r="E3679" s="29"/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29"/>
      <c r="S3679" s="29"/>
      <c r="T3679" s="29"/>
      <c r="U3679" s="29"/>
      <c r="V3679" s="29"/>
      <c r="GK3679" s="29"/>
      <c r="GL3679" s="29"/>
      <c r="GM3679" s="29"/>
      <c r="GN3679" s="29"/>
      <c r="GO3679" s="29"/>
      <c r="GP3679" s="29"/>
      <c r="GQ3679" s="29"/>
      <c r="GR3679" s="29"/>
      <c r="GS3679" s="29"/>
      <c r="GT3679" s="29"/>
      <c r="GU3679" s="29"/>
      <c r="GV3679" s="29"/>
      <c r="GW3679" s="29"/>
      <c r="GX3679" s="29"/>
      <c r="GY3679" s="29"/>
      <c r="GZ3679" s="29"/>
      <c r="HA3679" s="29"/>
      <c r="HB3679" s="29"/>
      <c r="HC3679" s="29"/>
      <c r="HD3679" s="29"/>
      <c r="HE3679" s="29"/>
      <c r="HF3679" s="29"/>
      <c r="HG3679" s="29"/>
      <c r="HH3679" s="29"/>
      <c r="HI3679" s="29"/>
      <c r="HJ3679" s="29"/>
      <c r="HK3679" s="29"/>
      <c r="HL3679" s="29"/>
      <c r="HM3679" s="29"/>
      <c r="HN3679" s="29"/>
      <c r="HO3679" s="29"/>
      <c r="HP3679" s="29"/>
      <c r="HQ3679" s="29"/>
      <c r="HR3679" s="29"/>
      <c r="HS3679" s="29"/>
      <c r="HT3679" s="29"/>
      <c r="HU3679" s="29"/>
      <c r="HV3679" s="29"/>
      <c r="HW3679" s="29"/>
      <c r="HX3679" s="29"/>
      <c r="HY3679" s="29"/>
      <c r="HZ3679" s="29"/>
      <c r="IA3679" s="29"/>
      <c r="IB3679" s="29"/>
      <c r="IC3679" s="29"/>
      <c r="ID3679" s="29"/>
      <c r="IE3679" s="29"/>
      <c r="IF3679" s="29"/>
      <c r="IG3679" s="29"/>
      <c r="IH3679" s="29"/>
      <c r="II3679" s="29"/>
      <c r="IJ3679" s="29"/>
      <c r="IK3679" s="29"/>
      <c r="IL3679" s="29"/>
      <c r="IM3679" s="29"/>
      <c r="IN3679" s="29"/>
      <c r="IO3679" s="29"/>
      <c r="IP3679" s="29"/>
      <c r="IQ3679" s="29"/>
      <c r="IR3679" s="29"/>
      <c r="IS3679" s="29"/>
      <c r="IT3679" s="29"/>
      <c r="IU3679" s="29"/>
      <c r="IV3679" s="29"/>
      <c r="IW3679" s="29"/>
      <c r="IX3679" s="29"/>
      <c r="IY3679" s="29"/>
      <c r="IZ3679" s="29"/>
      <c r="JA3679" s="29"/>
      <c r="JB3679" s="29"/>
    </row>
    <row r="3680" spans="1:262" s="28" customFormat="1">
      <c r="A3680" s="29"/>
      <c r="B3680" s="29"/>
      <c r="C3680" s="29"/>
      <c r="D3680" s="29"/>
      <c r="E3680" s="29"/>
      <c r="F3680" s="29"/>
      <c r="G3680" s="29"/>
      <c r="H3680" s="29"/>
      <c r="I3680" s="29"/>
      <c r="J3680" s="29"/>
      <c r="K3680" s="29"/>
      <c r="L3680" s="29"/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GK3680" s="29"/>
      <c r="GL3680" s="29"/>
      <c r="GM3680" s="29"/>
      <c r="GN3680" s="29"/>
      <c r="GO3680" s="29"/>
      <c r="GP3680" s="29"/>
      <c r="GQ3680" s="29"/>
      <c r="GR3680" s="29"/>
      <c r="GS3680" s="29"/>
      <c r="GT3680" s="29"/>
      <c r="GU3680" s="29"/>
      <c r="GV3680" s="29"/>
      <c r="GW3680" s="29"/>
      <c r="GX3680" s="29"/>
      <c r="GY3680" s="29"/>
      <c r="GZ3680" s="29"/>
      <c r="HA3680" s="29"/>
      <c r="HB3680" s="29"/>
      <c r="HC3680" s="29"/>
      <c r="HD3680" s="29"/>
      <c r="HE3680" s="29"/>
      <c r="HF3680" s="29"/>
      <c r="HG3680" s="29"/>
      <c r="HH3680" s="29"/>
      <c r="HI3680" s="29"/>
      <c r="HJ3680" s="29"/>
      <c r="HK3680" s="29"/>
      <c r="HL3680" s="29"/>
      <c r="HM3680" s="29"/>
      <c r="HN3680" s="29"/>
      <c r="HO3680" s="29"/>
      <c r="HP3680" s="29"/>
      <c r="HQ3680" s="29"/>
      <c r="HR3680" s="29"/>
      <c r="HS3680" s="29"/>
      <c r="HT3680" s="29"/>
      <c r="HU3680" s="29"/>
      <c r="HV3680" s="29"/>
      <c r="HW3680" s="29"/>
      <c r="HX3680" s="29"/>
      <c r="HY3680" s="29"/>
      <c r="HZ3680" s="29"/>
      <c r="IA3680" s="29"/>
      <c r="IB3680" s="29"/>
      <c r="IC3680" s="29"/>
      <c r="ID3680" s="29"/>
      <c r="IE3680" s="29"/>
      <c r="IF3680" s="29"/>
      <c r="IG3680" s="29"/>
      <c r="IH3680" s="29"/>
      <c r="II3680" s="29"/>
      <c r="IJ3680" s="29"/>
      <c r="IK3680" s="29"/>
      <c r="IL3680" s="29"/>
      <c r="IM3680" s="29"/>
      <c r="IN3680" s="29"/>
      <c r="IO3680" s="29"/>
      <c r="IP3680" s="29"/>
      <c r="IQ3680" s="29"/>
      <c r="IR3680" s="29"/>
      <c r="IS3680" s="29"/>
      <c r="IT3680" s="29"/>
      <c r="IU3680" s="29"/>
      <c r="IV3680" s="29"/>
      <c r="IW3680" s="29"/>
      <c r="IX3680" s="29"/>
      <c r="IY3680" s="29"/>
      <c r="IZ3680" s="29"/>
      <c r="JA3680" s="29"/>
      <c r="JB3680" s="29"/>
    </row>
    <row r="3681" spans="1:262" s="28" customFormat="1">
      <c r="A3681" s="29"/>
      <c r="B3681" s="29"/>
      <c r="C3681" s="29"/>
      <c r="D3681" s="29"/>
      <c r="E3681" s="29"/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29"/>
      <c r="Q3681" s="29"/>
      <c r="R3681" s="29"/>
      <c r="S3681" s="29"/>
      <c r="T3681" s="29"/>
      <c r="U3681" s="29"/>
      <c r="V3681" s="29"/>
      <c r="GK3681" s="29"/>
      <c r="GL3681" s="29"/>
      <c r="GM3681" s="29"/>
      <c r="GN3681" s="29"/>
      <c r="GO3681" s="29"/>
      <c r="GP3681" s="29"/>
      <c r="GQ3681" s="29"/>
      <c r="GR3681" s="29"/>
      <c r="GS3681" s="29"/>
      <c r="GT3681" s="29"/>
      <c r="GU3681" s="29"/>
      <c r="GV3681" s="29"/>
      <c r="GW3681" s="29"/>
      <c r="GX3681" s="29"/>
      <c r="GY3681" s="29"/>
      <c r="GZ3681" s="29"/>
      <c r="HA3681" s="29"/>
      <c r="HB3681" s="29"/>
      <c r="HC3681" s="29"/>
      <c r="HD3681" s="29"/>
      <c r="HE3681" s="29"/>
      <c r="HF3681" s="29"/>
      <c r="HG3681" s="29"/>
      <c r="HH3681" s="29"/>
      <c r="HI3681" s="29"/>
      <c r="HJ3681" s="29"/>
      <c r="HK3681" s="29"/>
      <c r="HL3681" s="29"/>
      <c r="HM3681" s="29"/>
      <c r="HN3681" s="29"/>
      <c r="HO3681" s="29"/>
      <c r="HP3681" s="29"/>
      <c r="HQ3681" s="29"/>
      <c r="HR3681" s="29"/>
      <c r="HS3681" s="29"/>
      <c r="HT3681" s="29"/>
      <c r="HU3681" s="29"/>
      <c r="HV3681" s="29"/>
      <c r="HW3681" s="29"/>
      <c r="HX3681" s="29"/>
      <c r="HY3681" s="29"/>
      <c r="HZ3681" s="29"/>
      <c r="IA3681" s="29"/>
      <c r="IB3681" s="29"/>
      <c r="IC3681" s="29"/>
      <c r="ID3681" s="29"/>
      <c r="IE3681" s="29"/>
      <c r="IF3681" s="29"/>
      <c r="IG3681" s="29"/>
      <c r="IH3681" s="29"/>
      <c r="II3681" s="29"/>
      <c r="IJ3681" s="29"/>
      <c r="IK3681" s="29"/>
      <c r="IL3681" s="29"/>
      <c r="IM3681" s="29"/>
      <c r="IN3681" s="29"/>
      <c r="IO3681" s="29"/>
      <c r="IP3681" s="29"/>
      <c r="IQ3681" s="29"/>
      <c r="IR3681" s="29"/>
      <c r="IS3681" s="29"/>
      <c r="IT3681" s="29"/>
      <c r="IU3681" s="29"/>
      <c r="IV3681" s="29"/>
      <c r="IW3681" s="29"/>
      <c r="IX3681" s="29"/>
      <c r="IY3681" s="29"/>
      <c r="IZ3681" s="29"/>
      <c r="JA3681" s="29"/>
      <c r="JB3681" s="29"/>
    </row>
    <row r="3682" spans="1:262" s="28" customFormat="1">
      <c r="A3682" s="29"/>
      <c r="B3682" s="29"/>
      <c r="C3682" s="29"/>
      <c r="D3682" s="29"/>
      <c r="E3682" s="29"/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GK3682" s="29"/>
      <c r="GL3682" s="29"/>
      <c r="GM3682" s="29"/>
      <c r="GN3682" s="29"/>
      <c r="GO3682" s="29"/>
      <c r="GP3682" s="29"/>
      <c r="GQ3682" s="29"/>
      <c r="GR3682" s="29"/>
      <c r="GS3682" s="29"/>
      <c r="GT3682" s="29"/>
      <c r="GU3682" s="29"/>
      <c r="GV3682" s="29"/>
      <c r="GW3682" s="29"/>
      <c r="GX3682" s="29"/>
      <c r="GY3682" s="29"/>
      <c r="GZ3682" s="29"/>
      <c r="HA3682" s="29"/>
      <c r="HB3682" s="29"/>
      <c r="HC3682" s="29"/>
      <c r="HD3682" s="29"/>
      <c r="HE3682" s="29"/>
      <c r="HF3682" s="29"/>
      <c r="HG3682" s="29"/>
      <c r="HH3682" s="29"/>
      <c r="HI3682" s="29"/>
      <c r="HJ3682" s="29"/>
      <c r="HK3682" s="29"/>
      <c r="HL3682" s="29"/>
      <c r="HM3682" s="29"/>
      <c r="HN3682" s="29"/>
      <c r="HO3682" s="29"/>
      <c r="HP3682" s="29"/>
      <c r="HQ3682" s="29"/>
      <c r="HR3682" s="29"/>
      <c r="HS3682" s="29"/>
      <c r="HT3682" s="29"/>
      <c r="HU3682" s="29"/>
      <c r="HV3682" s="29"/>
      <c r="HW3682" s="29"/>
      <c r="HX3682" s="29"/>
      <c r="HY3682" s="29"/>
      <c r="HZ3682" s="29"/>
      <c r="IA3682" s="29"/>
      <c r="IB3682" s="29"/>
      <c r="IC3682" s="29"/>
      <c r="ID3682" s="29"/>
      <c r="IE3682" s="29"/>
      <c r="IF3682" s="29"/>
      <c r="IG3682" s="29"/>
      <c r="IH3682" s="29"/>
      <c r="II3682" s="29"/>
      <c r="IJ3682" s="29"/>
      <c r="IK3682" s="29"/>
      <c r="IL3682" s="29"/>
      <c r="IM3682" s="29"/>
      <c r="IN3682" s="29"/>
      <c r="IO3682" s="29"/>
      <c r="IP3682" s="29"/>
      <c r="IQ3682" s="29"/>
      <c r="IR3682" s="29"/>
      <c r="IS3682" s="29"/>
      <c r="IT3682" s="29"/>
      <c r="IU3682" s="29"/>
      <c r="IV3682" s="29"/>
      <c r="IW3682" s="29"/>
      <c r="IX3682" s="29"/>
      <c r="IY3682" s="29"/>
      <c r="IZ3682" s="29"/>
      <c r="JA3682" s="29"/>
      <c r="JB3682" s="29"/>
    </row>
    <row r="3683" spans="1:262" s="28" customFormat="1">
      <c r="A3683" s="29"/>
      <c r="B3683" s="29"/>
      <c r="C3683" s="29"/>
      <c r="D3683" s="29"/>
      <c r="E3683" s="29"/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GK3683" s="29"/>
      <c r="GL3683" s="29"/>
      <c r="GM3683" s="29"/>
      <c r="GN3683" s="29"/>
      <c r="GO3683" s="29"/>
      <c r="GP3683" s="29"/>
      <c r="GQ3683" s="29"/>
      <c r="GR3683" s="29"/>
      <c r="GS3683" s="29"/>
      <c r="GT3683" s="29"/>
      <c r="GU3683" s="29"/>
      <c r="GV3683" s="29"/>
      <c r="GW3683" s="29"/>
      <c r="GX3683" s="29"/>
      <c r="GY3683" s="29"/>
      <c r="GZ3683" s="29"/>
      <c r="HA3683" s="29"/>
      <c r="HB3683" s="29"/>
      <c r="HC3683" s="29"/>
      <c r="HD3683" s="29"/>
      <c r="HE3683" s="29"/>
      <c r="HF3683" s="29"/>
      <c r="HG3683" s="29"/>
      <c r="HH3683" s="29"/>
      <c r="HI3683" s="29"/>
      <c r="HJ3683" s="29"/>
      <c r="HK3683" s="29"/>
      <c r="HL3683" s="29"/>
      <c r="HM3683" s="29"/>
      <c r="HN3683" s="29"/>
      <c r="HO3683" s="29"/>
      <c r="HP3683" s="29"/>
      <c r="HQ3683" s="29"/>
      <c r="HR3683" s="29"/>
      <c r="HS3683" s="29"/>
      <c r="HT3683" s="29"/>
      <c r="HU3683" s="29"/>
      <c r="HV3683" s="29"/>
      <c r="HW3683" s="29"/>
      <c r="HX3683" s="29"/>
      <c r="HY3683" s="29"/>
      <c r="HZ3683" s="29"/>
      <c r="IA3683" s="29"/>
      <c r="IB3683" s="29"/>
      <c r="IC3683" s="29"/>
      <c r="ID3683" s="29"/>
      <c r="IE3683" s="29"/>
      <c r="IF3683" s="29"/>
      <c r="IG3683" s="29"/>
      <c r="IH3683" s="29"/>
      <c r="II3683" s="29"/>
      <c r="IJ3683" s="29"/>
      <c r="IK3683" s="29"/>
      <c r="IL3683" s="29"/>
      <c r="IM3683" s="29"/>
      <c r="IN3683" s="29"/>
      <c r="IO3683" s="29"/>
      <c r="IP3683" s="29"/>
      <c r="IQ3683" s="29"/>
      <c r="IR3683" s="29"/>
      <c r="IS3683" s="29"/>
      <c r="IT3683" s="29"/>
      <c r="IU3683" s="29"/>
      <c r="IV3683" s="29"/>
      <c r="IW3683" s="29"/>
      <c r="IX3683" s="29"/>
      <c r="IY3683" s="29"/>
      <c r="IZ3683" s="29"/>
      <c r="JA3683" s="29"/>
      <c r="JB3683" s="29"/>
    </row>
    <row r="3684" spans="1:262" s="28" customFormat="1">
      <c r="A3684" s="29"/>
      <c r="B3684" s="29"/>
      <c r="C3684" s="29"/>
      <c r="D3684" s="29"/>
      <c r="E3684" s="29"/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GK3684" s="29"/>
      <c r="GL3684" s="29"/>
      <c r="GM3684" s="29"/>
      <c r="GN3684" s="29"/>
      <c r="GO3684" s="29"/>
      <c r="GP3684" s="29"/>
      <c r="GQ3684" s="29"/>
      <c r="GR3684" s="29"/>
      <c r="GS3684" s="29"/>
      <c r="GT3684" s="29"/>
      <c r="GU3684" s="29"/>
      <c r="GV3684" s="29"/>
      <c r="GW3684" s="29"/>
      <c r="GX3684" s="29"/>
      <c r="GY3684" s="29"/>
      <c r="GZ3684" s="29"/>
      <c r="HA3684" s="29"/>
      <c r="HB3684" s="29"/>
      <c r="HC3684" s="29"/>
      <c r="HD3684" s="29"/>
      <c r="HE3684" s="29"/>
      <c r="HF3684" s="29"/>
      <c r="HG3684" s="29"/>
      <c r="HH3684" s="29"/>
      <c r="HI3684" s="29"/>
      <c r="HJ3684" s="29"/>
      <c r="HK3684" s="29"/>
      <c r="HL3684" s="29"/>
      <c r="HM3684" s="29"/>
      <c r="HN3684" s="29"/>
      <c r="HO3684" s="29"/>
      <c r="HP3684" s="29"/>
      <c r="HQ3684" s="29"/>
      <c r="HR3684" s="29"/>
      <c r="HS3684" s="29"/>
      <c r="HT3684" s="29"/>
      <c r="HU3684" s="29"/>
      <c r="HV3684" s="29"/>
      <c r="HW3684" s="29"/>
      <c r="HX3684" s="29"/>
      <c r="HY3684" s="29"/>
      <c r="HZ3684" s="29"/>
      <c r="IA3684" s="29"/>
      <c r="IB3684" s="29"/>
      <c r="IC3684" s="29"/>
      <c r="ID3684" s="29"/>
      <c r="IE3684" s="29"/>
      <c r="IF3684" s="29"/>
      <c r="IG3684" s="29"/>
      <c r="IH3684" s="29"/>
      <c r="II3684" s="29"/>
      <c r="IJ3684" s="29"/>
      <c r="IK3684" s="29"/>
      <c r="IL3684" s="29"/>
      <c r="IM3684" s="29"/>
      <c r="IN3684" s="29"/>
      <c r="IO3684" s="29"/>
      <c r="IP3684" s="29"/>
      <c r="IQ3684" s="29"/>
      <c r="IR3684" s="29"/>
      <c r="IS3684" s="29"/>
      <c r="IT3684" s="29"/>
      <c r="IU3684" s="29"/>
      <c r="IV3684" s="29"/>
      <c r="IW3684" s="29"/>
      <c r="IX3684" s="29"/>
      <c r="IY3684" s="29"/>
      <c r="IZ3684" s="29"/>
      <c r="JA3684" s="29"/>
      <c r="JB3684" s="29"/>
    </row>
    <row r="3685" spans="1:262" s="28" customFormat="1">
      <c r="A3685" s="29"/>
      <c r="B3685" s="29"/>
      <c r="C3685" s="29"/>
      <c r="D3685" s="29"/>
      <c r="E3685" s="29"/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GK3685" s="29"/>
      <c r="GL3685" s="29"/>
      <c r="GM3685" s="29"/>
      <c r="GN3685" s="29"/>
      <c r="GO3685" s="29"/>
      <c r="GP3685" s="29"/>
      <c r="GQ3685" s="29"/>
      <c r="GR3685" s="29"/>
      <c r="GS3685" s="29"/>
      <c r="GT3685" s="29"/>
      <c r="GU3685" s="29"/>
      <c r="GV3685" s="29"/>
      <c r="GW3685" s="29"/>
      <c r="GX3685" s="29"/>
      <c r="GY3685" s="29"/>
      <c r="GZ3685" s="29"/>
      <c r="HA3685" s="29"/>
      <c r="HB3685" s="29"/>
      <c r="HC3685" s="29"/>
      <c r="HD3685" s="29"/>
      <c r="HE3685" s="29"/>
      <c r="HF3685" s="29"/>
      <c r="HG3685" s="29"/>
      <c r="HH3685" s="29"/>
      <c r="HI3685" s="29"/>
      <c r="HJ3685" s="29"/>
      <c r="HK3685" s="29"/>
      <c r="HL3685" s="29"/>
      <c r="HM3685" s="29"/>
      <c r="HN3685" s="29"/>
      <c r="HO3685" s="29"/>
      <c r="HP3685" s="29"/>
      <c r="HQ3685" s="29"/>
      <c r="HR3685" s="29"/>
      <c r="HS3685" s="29"/>
      <c r="HT3685" s="29"/>
      <c r="HU3685" s="29"/>
      <c r="HV3685" s="29"/>
      <c r="HW3685" s="29"/>
      <c r="HX3685" s="29"/>
      <c r="HY3685" s="29"/>
      <c r="HZ3685" s="29"/>
      <c r="IA3685" s="29"/>
      <c r="IB3685" s="29"/>
      <c r="IC3685" s="29"/>
      <c r="ID3685" s="29"/>
      <c r="IE3685" s="29"/>
      <c r="IF3685" s="29"/>
      <c r="IG3685" s="29"/>
      <c r="IH3685" s="29"/>
      <c r="II3685" s="29"/>
      <c r="IJ3685" s="29"/>
      <c r="IK3685" s="29"/>
      <c r="IL3685" s="29"/>
      <c r="IM3685" s="29"/>
      <c r="IN3685" s="29"/>
      <c r="IO3685" s="29"/>
      <c r="IP3685" s="29"/>
      <c r="IQ3685" s="29"/>
      <c r="IR3685" s="29"/>
      <c r="IS3685" s="29"/>
      <c r="IT3685" s="29"/>
      <c r="IU3685" s="29"/>
      <c r="IV3685" s="29"/>
      <c r="IW3685" s="29"/>
      <c r="IX3685" s="29"/>
      <c r="IY3685" s="29"/>
      <c r="IZ3685" s="29"/>
      <c r="JA3685" s="29"/>
      <c r="JB3685" s="29"/>
    </row>
    <row r="3686" spans="1:262" s="28" customFormat="1">
      <c r="A3686" s="29"/>
      <c r="B3686" s="29"/>
      <c r="C3686" s="29"/>
      <c r="D3686" s="29"/>
      <c r="E3686" s="29"/>
      <c r="F3686" s="29"/>
      <c r="G3686" s="29"/>
      <c r="H3686" s="29"/>
      <c r="I3686" s="29"/>
      <c r="J3686" s="29"/>
      <c r="K3686" s="29"/>
      <c r="L3686" s="29"/>
      <c r="M3686" s="29"/>
      <c r="N3686" s="29"/>
      <c r="O3686" s="29"/>
      <c r="P3686" s="29"/>
      <c r="Q3686" s="29"/>
      <c r="R3686" s="29"/>
      <c r="S3686" s="29"/>
      <c r="T3686" s="29"/>
      <c r="U3686" s="29"/>
      <c r="V3686" s="29"/>
      <c r="GK3686" s="29"/>
      <c r="GL3686" s="29"/>
      <c r="GM3686" s="29"/>
      <c r="GN3686" s="29"/>
      <c r="GO3686" s="29"/>
      <c r="GP3686" s="29"/>
      <c r="GQ3686" s="29"/>
      <c r="GR3686" s="29"/>
      <c r="GS3686" s="29"/>
      <c r="GT3686" s="29"/>
      <c r="GU3686" s="29"/>
      <c r="GV3686" s="29"/>
      <c r="GW3686" s="29"/>
      <c r="GX3686" s="29"/>
      <c r="GY3686" s="29"/>
      <c r="GZ3686" s="29"/>
      <c r="HA3686" s="29"/>
      <c r="HB3686" s="29"/>
      <c r="HC3686" s="29"/>
      <c r="HD3686" s="29"/>
      <c r="HE3686" s="29"/>
      <c r="HF3686" s="29"/>
      <c r="HG3686" s="29"/>
      <c r="HH3686" s="29"/>
      <c r="HI3686" s="29"/>
      <c r="HJ3686" s="29"/>
      <c r="HK3686" s="29"/>
      <c r="HL3686" s="29"/>
      <c r="HM3686" s="29"/>
      <c r="HN3686" s="29"/>
      <c r="HO3686" s="29"/>
      <c r="HP3686" s="29"/>
      <c r="HQ3686" s="29"/>
      <c r="HR3686" s="29"/>
      <c r="HS3686" s="29"/>
      <c r="HT3686" s="29"/>
      <c r="HU3686" s="29"/>
      <c r="HV3686" s="29"/>
      <c r="HW3686" s="29"/>
      <c r="HX3686" s="29"/>
      <c r="HY3686" s="29"/>
      <c r="HZ3686" s="29"/>
      <c r="IA3686" s="29"/>
      <c r="IB3686" s="29"/>
      <c r="IC3686" s="29"/>
      <c r="ID3686" s="29"/>
      <c r="IE3686" s="29"/>
      <c r="IF3686" s="29"/>
      <c r="IG3686" s="29"/>
      <c r="IH3686" s="29"/>
      <c r="II3686" s="29"/>
      <c r="IJ3686" s="29"/>
      <c r="IK3686" s="29"/>
      <c r="IL3686" s="29"/>
      <c r="IM3686" s="29"/>
      <c r="IN3686" s="29"/>
      <c r="IO3686" s="29"/>
      <c r="IP3686" s="29"/>
      <c r="IQ3686" s="29"/>
      <c r="IR3686" s="29"/>
      <c r="IS3686" s="29"/>
      <c r="IT3686" s="29"/>
      <c r="IU3686" s="29"/>
      <c r="IV3686" s="29"/>
      <c r="IW3686" s="29"/>
      <c r="IX3686" s="29"/>
      <c r="IY3686" s="29"/>
      <c r="IZ3686" s="29"/>
      <c r="JA3686" s="29"/>
      <c r="JB3686" s="29"/>
    </row>
    <row r="3687" spans="1:262" s="28" customFormat="1">
      <c r="A3687" s="29"/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GK3687" s="29"/>
      <c r="GL3687" s="29"/>
      <c r="GM3687" s="29"/>
      <c r="GN3687" s="29"/>
      <c r="GO3687" s="29"/>
      <c r="GP3687" s="29"/>
      <c r="GQ3687" s="29"/>
      <c r="GR3687" s="29"/>
      <c r="GS3687" s="29"/>
      <c r="GT3687" s="29"/>
      <c r="GU3687" s="29"/>
      <c r="GV3687" s="29"/>
      <c r="GW3687" s="29"/>
      <c r="GX3687" s="29"/>
      <c r="GY3687" s="29"/>
      <c r="GZ3687" s="29"/>
      <c r="HA3687" s="29"/>
      <c r="HB3687" s="29"/>
      <c r="HC3687" s="29"/>
      <c r="HD3687" s="29"/>
      <c r="HE3687" s="29"/>
      <c r="HF3687" s="29"/>
      <c r="HG3687" s="29"/>
      <c r="HH3687" s="29"/>
      <c r="HI3687" s="29"/>
      <c r="HJ3687" s="29"/>
      <c r="HK3687" s="29"/>
      <c r="HL3687" s="29"/>
      <c r="HM3687" s="29"/>
      <c r="HN3687" s="29"/>
      <c r="HO3687" s="29"/>
      <c r="HP3687" s="29"/>
      <c r="HQ3687" s="29"/>
      <c r="HR3687" s="29"/>
      <c r="HS3687" s="29"/>
      <c r="HT3687" s="29"/>
      <c r="HU3687" s="29"/>
      <c r="HV3687" s="29"/>
      <c r="HW3687" s="29"/>
      <c r="HX3687" s="29"/>
      <c r="HY3687" s="29"/>
      <c r="HZ3687" s="29"/>
      <c r="IA3687" s="29"/>
      <c r="IB3687" s="29"/>
      <c r="IC3687" s="29"/>
      <c r="ID3687" s="29"/>
      <c r="IE3687" s="29"/>
      <c r="IF3687" s="29"/>
      <c r="IG3687" s="29"/>
      <c r="IH3687" s="29"/>
      <c r="II3687" s="29"/>
      <c r="IJ3687" s="29"/>
      <c r="IK3687" s="29"/>
      <c r="IL3687" s="29"/>
      <c r="IM3687" s="29"/>
      <c r="IN3687" s="29"/>
      <c r="IO3687" s="29"/>
      <c r="IP3687" s="29"/>
      <c r="IQ3687" s="29"/>
      <c r="IR3687" s="29"/>
      <c r="IS3687" s="29"/>
      <c r="IT3687" s="29"/>
      <c r="IU3687" s="29"/>
      <c r="IV3687" s="29"/>
      <c r="IW3687" s="29"/>
      <c r="IX3687" s="29"/>
      <c r="IY3687" s="29"/>
      <c r="IZ3687" s="29"/>
      <c r="JA3687" s="29"/>
      <c r="JB3687" s="29"/>
    </row>
    <row r="3688" spans="1:262" s="28" customFormat="1">
      <c r="A3688" s="29"/>
      <c r="B3688" s="29"/>
      <c r="C3688" s="29"/>
      <c r="D3688" s="29"/>
      <c r="E3688" s="29"/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29"/>
      <c r="S3688" s="29"/>
      <c r="T3688" s="29"/>
      <c r="U3688" s="29"/>
      <c r="V3688" s="29"/>
      <c r="GK3688" s="29"/>
      <c r="GL3688" s="29"/>
      <c r="GM3688" s="29"/>
      <c r="GN3688" s="29"/>
      <c r="GO3688" s="29"/>
      <c r="GP3688" s="29"/>
      <c r="GQ3688" s="29"/>
      <c r="GR3688" s="29"/>
      <c r="GS3688" s="29"/>
      <c r="GT3688" s="29"/>
      <c r="GU3688" s="29"/>
      <c r="GV3688" s="29"/>
      <c r="GW3688" s="29"/>
      <c r="GX3688" s="29"/>
      <c r="GY3688" s="29"/>
      <c r="GZ3688" s="29"/>
      <c r="HA3688" s="29"/>
      <c r="HB3688" s="29"/>
      <c r="HC3688" s="29"/>
      <c r="HD3688" s="29"/>
      <c r="HE3688" s="29"/>
      <c r="HF3688" s="29"/>
      <c r="HG3688" s="29"/>
      <c r="HH3688" s="29"/>
      <c r="HI3688" s="29"/>
      <c r="HJ3688" s="29"/>
      <c r="HK3688" s="29"/>
      <c r="HL3688" s="29"/>
      <c r="HM3688" s="29"/>
      <c r="HN3688" s="29"/>
      <c r="HO3688" s="29"/>
      <c r="HP3688" s="29"/>
      <c r="HQ3688" s="29"/>
      <c r="HR3688" s="29"/>
      <c r="HS3688" s="29"/>
      <c r="HT3688" s="29"/>
      <c r="HU3688" s="29"/>
      <c r="HV3688" s="29"/>
      <c r="HW3688" s="29"/>
      <c r="HX3688" s="29"/>
      <c r="HY3688" s="29"/>
      <c r="HZ3688" s="29"/>
      <c r="IA3688" s="29"/>
      <c r="IB3688" s="29"/>
      <c r="IC3688" s="29"/>
      <c r="ID3688" s="29"/>
      <c r="IE3688" s="29"/>
      <c r="IF3688" s="29"/>
      <c r="IG3688" s="29"/>
      <c r="IH3688" s="29"/>
      <c r="II3688" s="29"/>
      <c r="IJ3688" s="29"/>
      <c r="IK3688" s="29"/>
      <c r="IL3688" s="29"/>
      <c r="IM3688" s="29"/>
      <c r="IN3688" s="29"/>
      <c r="IO3688" s="29"/>
      <c r="IP3688" s="29"/>
      <c r="IQ3688" s="29"/>
      <c r="IR3688" s="29"/>
      <c r="IS3688" s="29"/>
      <c r="IT3688" s="29"/>
      <c r="IU3688" s="29"/>
      <c r="IV3688" s="29"/>
      <c r="IW3688" s="29"/>
      <c r="IX3688" s="29"/>
      <c r="IY3688" s="29"/>
      <c r="IZ3688" s="29"/>
      <c r="JA3688" s="29"/>
      <c r="JB3688" s="29"/>
    </row>
    <row r="3689" spans="1:262" s="28" customFormat="1">
      <c r="A3689" s="29"/>
      <c r="B3689" s="29"/>
      <c r="C3689" s="29"/>
      <c r="D3689" s="29"/>
      <c r="E3689" s="29"/>
      <c r="F3689" s="29"/>
      <c r="G3689" s="29"/>
      <c r="H3689" s="29"/>
      <c r="I3689" s="29"/>
      <c r="J3689" s="29"/>
      <c r="K3689" s="29"/>
      <c r="L3689" s="29"/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GK3689" s="29"/>
      <c r="GL3689" s="29"/>
      <c r="GM3689" s="29"/>
      <c r="GN3689" s="29"/>
      <c r="GO3689" s="29"/>
      <c r="GP3689" s="29"/>
      <c r="GQ3689" s="29"/>
      <c r="GR3689" s="29"/>
      <c r="GS3689" s="29"/>
      <c r="GT3689" s="29"/>
      <c r="GU3689" s="29"/>
      <c r="GV3689" s="29"/>
      <c r="GW3689" s="29"/>
      <c r="GX3689" s="29"/>
      <c r="GY3689" s="29"/>
      <c r="GZ3689" s="29"/>
      <c r="HA3689" s="29"/>
      <c r="HB3689" s="29"/>
      <c r="HC3689" s="29"/>
      <c r="HD3689" s="29"/>
      <c r="HE3689" s="29"/>
      <c r="HF3689" s="29"/>
      <c r="HG3689" s="29"/>
      <c r="HH3689" s="29"/>
      <c r="HI3689" s="29"/>
      <c r="HJ3689" s="29"/>
      <c r="HK3689" s="29"/>
      <c r="HL3689" s="29"/>
      <c r="HM3689" s="29"/>
      <c r="HN3689" s="29"/>
      <c r="HO3689" s="29"/>
      <c r="HP3689" s="29"/>
      <c r="HQ3689" s="29"/>
      <c r="HR3689" s="29"/>
      <c r="HS3689" s="29"/>
      <c r="HT3689" s="29"/>
      <c r="HU3689" s="29"/>
      <c r="HV3689" s="29"/>
      <c r="HW3689" s="29"/>
      <c r="HX3689" s="29"/>
      <c r="HY3689" s="29"/>
      <c r="HZ3689" s="29"/>
      <c r="IA3689" s="29"/>
      <c r="IB3689" s="29"/>
      <c r="IC3689" s="29"/>
      <c r="ID3689" s="29"/>
      <c r="IE3689" s="29"/>
      <c r="IF3689" s="29"/>
      <c r="IG3689" s="29"/>
      <c r="IH3689" s="29"/>
      <c r="II3689" s="29"/>
      <c r="IJ3689" s="29"/>
      <c r="IK3689" s="29"/>
      <c r="IL3689" s="29"/>
      <c r="IM3689" s="29"/>
      <c r="IN3689" s="29"/>
      <c r="IO3689" s="29"/>
      <c r="IP3689" s="29"/>
      <c r="IQ3689" s="29"/>
      <c r="IR3689" s="29"/>
      <c r="IS3689" s="29"/>
      <c r="IT3689" s="29"/>
      <c r="IU3689" s="29"/>
      <c r="IV3689" s="29"/>
      <c r="IW3689" s="29"/>
      <c r="IX3689" s="29"/>
      <c r="IY3689" s="29"/>
      <c r="IZ3689" s="29"/>
      <c r="JA3689" s="29"/>
      <c r="JB3689" s="29"/>
    </row>
    <row r="3690" spans="1:262" s="28" customFormat="1">
      <c r="A3690" s="29"/>
      <c r="B3690" s="29"/>
      <c r="C3690" s="29"/>
      <c r="D3690" s="29"/>
      <c r="E3690" s="29"/>
      <c r="F3690" s="29"/>
      <c r="G3690" s="29"/>
      <c r="H3690" s="29"/>
      <c r="I3690" s="29"/>
      <c r="J3690" s="29"/>
      <c r="K3690" s="29"/>
      <c r="L3690" s="29"/>
      <c r="M3690" s="29"/>
      <c r="N3690" s="29"/>
      <c r="O3690" s="29"/>
      <c r="P3690" s="29"/>
      <c r="Q3690" s="29"/>
      <c r="R3690" s="29"/>
      <c r="S3690" s="29"/>
      <c r="T3690" s="29"/>
      <c r="U3690" s="29"/>
      <c r="V3690" s="29"/>
      <c r="GK3690" s="29"/>
      <c r="GL3690" s="29"/>
      <c r="GM3690" s="29"/>
      <c r="GN3690" s="29"/>
      <c r="GO3690" s="29"/>
      <c r="GP3690" s="29"/>
      <c r="GQ3690" s="29"/>
      <c r="GR3690" s="29"/>
      <c r="GS3690" s="29"/>
      <c r="GT3690" s="29"/>
      <c r="GU3690" s="29"/>
      <c r="GV3690" s="29"/>
      <c r="GW3690" s="29"/>
      <c r="GX3690" s="29"/>
      <c r="GY3690" s="29"/>
      <c r="GZ3690" s="29"/>
      <c r="HA3690" s="29"/>
      <c r="HB3690" s="29"/>
      <c r="HC3690" s="29"/>
      <c r="HD3690" s="29"/>
      <c r="HE3690" s="29"/>
      <c r="HF3690" s="29"/>
      <c r="HG3690" s="29"/>
      <c r="HH3690" s="29"/>
      <c r="HI3690" s="29"/>
      <c r="HJ3690" s="29"/>
      <c r="HK3690" s="29"/>
      <c r="HL3690" s="29"/>
      <c r="HM3690" s="29"/>
      <c r="HN3690" s="29"/>
      <c r="HO3690" s="29"/>
      <c r="HP3690" s="29"/>
      <c r="HQ3690" s="29"/>
      <c r="HR3690" s="29"/>
      <c r="HS3690" s="29"/>
      <c r="HT3690" s="29"/>
      <c r="HU3690" s="29"/>
      <c r="HV3690" s="29"/>
      <c r="HW3690" s="29"/>
      <c r="HX3690" s="29"/>
      <c r="HY3690" s="29"/>
      <c r="HZ3690" s="29"/>
      <c r="IA3690" s="29"/>
      <c r="IB3690" s="29"/>
      <c r="IC3690" s="29"/>
      <c r="ID3690" s="29"/>
      <c r="IE3690" s="29"/>
      <c r="IF3690" s="29"/>
      <c r="IG3690" s="29"/>
      <c r="IH3690" s="29"/>
      <c r="II3690" s="29"/>
      <c r="IJ3690" s="29"/>
      <c r="IK3690" s="29"/>
      <c r="IL3690" s="29"/>
      <c r="IM3690" s="29"/>
      <c r="IN3690" s="29"/>
      <c r="IO3690" s="29"/>
      <c r="IP3690" s="29"/>
      <c r="IQ3690" s="29"/>
      <c r="IR3690" s="29"/>
      <c r="IS3690" s="29"/>
      <c r="IT3690" s="29"/>
      <c r="IU3690" s="29"/>
      <c r="IV3690" s="29"/>
      <c r="IW3690" s="29"/>
      <c r="IX3690" s="29"/>
      <c r="IY3690" s="29"/>
      <c r="IZ3690" s="29"/>
      <c r="JA3690" s="29"/>
      <c r="JB3690" s="29"/>
    </row>
    <row r="3691" spans="1:262" s="28" customFormat="1">
      <c r="A3691" s="29"/>
      <c r="B3691" s="29"/>
      <c r="C3691" s="29"/>
      <c r="D3691" s="29"/>
      <c r="E3691" s="29"/>
      <c r="F3691" s="29"/>
      <c r="G3691" s="29"/>
      <c r="H3691" s="29"/>
      <c r="I3691" s="29"/>
      <c r="J3691" s="29"/>
      <c r="K3691" s="29"/>
      <c r="L3691" s="29"/>
      <c r="M3691" s="29"/>
      <c r="N3691" s="29"/>
      <c r="O3691" s="29"/>
      <c r="P3691" s="29"/>
      <c r="Q3691" s="29"/>
      <c r="R3691" s="29"/>
      <c r="S3691" s="29"/>
      <c r="T3691" s="29"/>
      <c r="U3691" s="29"/>
      <c r="V3691" s="29"/>
      <c r="GK3691" s="29"/>
      <c r="GL3691" s="29"/>
      <c r="GM3691" s="29"/>
      <c r="GN3691" s="29"/>
      <c r="GO3691" s="29"/>
      <c r="GP3691" s="29"/>
      <c r="GQ3691" s="29"/>
      <c r="GR3691" s="29"/>
      <c r="GS3691" s="29"/>
      <c r="GT3691" s="29"/>
      <c r="GU3691" s="29"/>
      <c r="GV3691" s="29"/>
      <c r="GW3691" s="29"/>
      <c r="GX3691" s="29"/>
      <c r="GY3691" s="29"/>
      <c r="GZ3691" s="29"/>
      <c r="HA3691" s="29"/>
      <c r="HB3691" s="29"/>
      <c r="HC3691" s="29"/>
      <c r="HD3691" s="29"/>
      <c r="HE3691" s="29"/>
      <c r="HF3691" s="29"/>
      <c r="HG3691" s="29"/>
      <c r="HH3691" s="29"/>
      <c r="HI3691" s="29"/>
      <c r="HJ3691" s="29"/>
      <c r="HK3691" s="29"/>
      <c r="HL3691" s="29"/>
      <c r="HM3691" s="29"/>
      <c r="HN3691" s="29"/>
      <c r="HO3691" s="29"/>
      <c r="HP3691" s="29"/>
      <c r="HQ3691" s="29"/>
      <c r="HR3691" s="29"/>
      <c r="HS3691" s="29"/>
      <c r="HT3691" s="29"/>
      <c r="HU3691" s="29"/>
      <c r="HV3691" s="29"/>
      <c r="HW3691" s="29"/>
      <c r="HX3691" s="29"/>
      <c r="HY3691" s="29"/>
      <c r="HZ3691" s="29"/>
      <c r="IA3691" s="29"/>
      <c r="IB3691" s="29"/>
      <c r="IC3691" s="29"/>
      <c r="ID3691" s="29"/>
      <c r="IE3691" s="29"/>
      <c r="IF3691" s="29"/>
      <c r="IG3691" s="29"/>
      <c r="IH3691" s="29"/>
      <c r="II3691" s="29"/>
      <c r="IJ3691" s="29"/>
      <c r="IK3691" s="29"/>
      <c r="IL3691" s="29"/>
      <c r="IM3691" s="29"/>
      <c r="IN3691" s="29"/>
      <c r="IO3691" s="29"/>
      <c r="IP3691" s="29"/>
      <c r="IQ3691" s="29"/>
      <c r="IR3691" s="29"/>
      <c r="IS3691" s="29"/>
      <c r="IT3691" s="29"/>
      <c r="IU3691" s="29"/>
      <c r="IV3691" s="29"/>
      <c r="IW3691" s="29"/>
      <c r="IX3691" s="29"/>
      <c r="IY3691" s="29"/>
      <c r="IZ3691" s="29"/>
      <c r="JA3691" s="29"/>
      <c r="JB3691" s="29"/>
    </row>
    <row r="3692" spans="1:262" s="28" customFormat="1">
      <c r="A3692" s="29"/>
      <c r="B3692" s="29"/>
      <c r="C3692" s="29"/>
      <c r="D3692" s="29"/>
      <c r="E3692" s="29"/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29"/>
      <c r="T3692" s="29"/>
      <c r="U3692" s="29"/>
      <c r="V3692" s="29"/>
      <c r="GK3692" s="29"/>
      <c r="GL3692" s="29"/>
      <c r="GM3692" s="29"/>
      <c r="GN3692" s="29"/>
      <c r="GO3692" s="29"/>
      <c r="GP3692" s="29"/>
      <c r="GQ3692" s="29"/>
      <c r="GR3692" s="29"/>
      <c r="GS3692" s="29"/>
      <c r="GT3692" s="29"/>
      <c r="GU3692" s="29"/>
      <c r="GV3692" s="29"/>
      <c r="GW3692" s="29"/>
      <c r="GX3692" s="29"/>
      <c r="GY3692" s="29"/>
      <c r="GZ3692" s="29"/>
      <c r="HA3692" s="29"/>
      <c r="HB3692" s="29"/>
      <c r="HC3692" s="29"/>
      <c r="HD3692" s="29"/>
      <c r="HE3692" s="29"/>
      <c r="HF3692" s="29"/>
      <c r="HG3692" s="29"/>
      <c r="HH3692" s="29"/>
      <c r="HI3692" s="29"/>
      <c r="HJ3692" s="29"/>
      <c r="HK3692" s="29"/>
      <c r="HL3692" s="29"/>
      <c r="HM3692" s="29"/>
      <c r="HN3692" s="29"/>
      <c r="HO3692" s="29"/>
      <c r="HP3692" s="29"/>
      <c r="HQ3692" s="29"/>
      <c r="HR3692" s="29"/>
      <c r="HS3692" s="29"/>
      <c r="HT3692" s="29"/>
      <c r="HU3692" s="29"/>
      <c r="HV3692" s="29"/>
      <c r="HW3692" s="29"/>
      <c r="HX3692" s="29"/>
      <c r="HY3692" s="29"/>
      <c r="HZ3692" s="29"/>
      <c r="IA3692" s="29"/>
      <c r="IB3692" s="29"/>
      <c r="IC3692" s="29"/>
      <c r="ID3692" s="29"/>
      <c r="IE3692" s="29"/>
      <c r="IF3692" s="29"/>
      <c r="IG3692" s="29"/>
      <c r="IH3692" s="29"/>
      <c r="II3692" s="29"/>
      <c r="IJ3692" s="29"/>
      <c r="IK3692" s="29"/>
      <c r="IL3692" s="29"/>
      <c r="IM3692" s="29"/>
      <c r="IN3692" s="29"/>
      <c r="IO3692" s="29"/>
      <c r="IP3692" s="29"/>
      <c r="IQ3692" s="29"/>
      <c r="IR3692" s="29"/>
      <c r="IS3692" s="29"/>
      <c r="IT3692" s="29"/>
      <c r="IU3692" s="29"/>
      <c r="IV3692" s="29"/>
      <c r="IW3692" s="29"/>
      <c r="IX3692" s="29"/>
      <c r="IY3692" s="29"/>
      <c r="IZ3692" s="29"/>
      <c r="JA3692" s="29"/>
      <c r="JB3692" s="29"/>
    </row>
    <row r="3693" spans="1:262" s="28" customFormat="1">
      <c r="A3693" s="29"/>
      <c r="B3693" s="29"/>
      <c r="C3693" s="29"/>
      <c r="D3693" s="29"/>
      <c r="E3693" s="29"/>
      <c r="F3693" s="29"/>
      <c r="G3693" s="29"/>
      <c r="H3693" s="29"/>
      <c r="I3693" s="29"/>
      <c r="J3693" s="29"/>
      <c r="K3693" s="29"/>
      <c r="L3693" s="29"/>
      <c r="M3693" s="29"/>
      <c r="N3693" s="29"/>
      <c r="O3693" s="29"/>
      <c r="P3693" s="29"/>
      <c r="Q3693" s="29"/>
      <c r="R3693" s="29"/>
      <c r="S3693" s="29"/>
      <c r="T3693" s="29"/>
      <c r="U3693" s="29"/>
      <c r="V3693" s="29"/>
      <c r="GK3693" s="29"/>
      <c r="GL3693" s="29"/>
      <c r="GM3693" s="29"/>
      <c r="GN3693" s="29"/>
      <c r="GO3693" s="29"/>
      <c r="GP3693" s="29"/>
      <c r="GQ3693" s="29"/>
      <c r="GR3693" s="29"/>
      <c r="GS3693" s="29"/>
      <c r="GT3693" s="29"/>
      <c r="GU3693" s="29"/>
      <c r="GV3693" s="29"/>
      <c r="GW3693" s="29"/>
      <c r="GX3693" s="29"/>
      <c r="GY3693" s="29"/>
      <c r="GZ3693" s="29"/>
      <c r="HA3693" s="29"/>
      <c r="HB3693" s="29"/>
      <c r="HC3693" s="29"/>
      <c r="HD3693" s="29"/>
      <c r="HE3693" s="29"/>
      <c r="HF3693" s="29"/>
      <c r="HG3693" s="29"/>
      <c r="HH3693" s="29"/>
      <c r="HI3693" s="29"/>
      <c r="HJ3693" s="29"/>
      <c r="HK3693" s="29"/>
      <c r="HL3693" s="29"/>
      <c r="HM3693" s="29"/>
      <c r="HN3693" s="29"/>
      <c r="HO3693" s="29"/>
      <c r="HP3693" s="29"/>
      <c r="HQ3693" s="29"/>
      <c r="HR3693" s="29"/>
      <c r="HS3693" s="29"/>
      <c r="HT3693" s="29"/>
      <c r="HU3693" s="29"/>
      <c r="HV3693" s="29"/>
      <c r="HW3693" s="29"/>
      <c r="HX3693" s="29"/>
      <c r="HY3693" s="29"/>
      <c r="HZ3693" s="29"/>
      <c r="IA3693" s="29"/>
      <c r="IB3693" s="29"/>
      <c r="IC3693" s="29"/>
      <c r="ID3693" s="29"/>
      <c r="IE3693" s="29"/>
      <c r="IF3693" s="29"/>
      <c r="IG3693" s="29"/>
      <c r="IH3693" s="29"/>
      <c r="II3693" s="29"/>
      <c r="IJ3693" s="29"/>
      <c r="IK3693" s="29"/>
      <c r="IL3693" s="29"/>
      <c r="IM3693" s="29"/>
      <c r="IN3693" s="29"/>
      <c r="IO3693" s="29"/>
      <c r="IP3693" s="29"/>
      <c r="IQ3693" s="29"/>
      <c r="IR3693" s="29"/>
      <c r="IS3693" s="29"/>
      <c r="IT3693" s="29"/>
      <c r="IU3693" s="29"/>
      <c r="IV3693" s="29"/>
      <c r="IW3693" s="29"/>
      <c r="IX3693" s="29"/>
      <c r="IY3693" s="29"/>
      <c r="IZ3693" s="29"/>
      <c r="JA3693" s="29"/>
      <c r="JB3693" s="29"/>
    </row>
    <row r="3694" spans="1:262" s="28" customFormat="1">
      <c r="A3694" s="29"/>
      <c r="B3694" s="29"/>
      <c r="C3694" s="29"/>
      <c r="D3694" s="29"/>
      <c r="E3694" s="29"/>
      <c r="F3694" s="29"/>
      <c r="G3694" s="29"/>
      <c r="H3694" s="29"/>
      <c r="I3694" s="29"/>
      <c r="J3694" s="29"/>
      <c r="K3694" s="29"/>
      <c r="L3694" s="29"/>
      <c r="M3694" s="29"/>
      <c r="N3694" s="29"/>
      <c r="O3694" s="29"/>
      <c r="P3694" s="29"/>
      <c r="Q3694" s="29"/>
      <c r="R3694" s="29"/>
      <c r="S3694" s="29"/>
      <c r="T3694" s="29"/>
      <c r="U3694" s="29"/>
      <c r="V3694" s="29"/>
      <c r="GK3694" s="29"/>
      <c r="GL3694" s="29"/>
      <c r="GM3694" s="29"/>
      <c r="GN3694" s="29"/>
      <c r="GO3694" s="29"/>
      <c r="GP3694" s="29"/>
      <c r="GQ3694" s="29"/>
      <c r="GR3694" s="29"/>
      <c r="GS3694" s="29"/>
      <c r="GT3694" s="29"/>
      <c r="GU3694" s="29"/>
      <c r="GV3694" s="29"/>
      <c r="GW3694" s="29"/>
      <c r="GX3694" s="29"/>
      <c r="GY3694" s="29"/>
      <c r="GZ3694" s="29"/>
      <c r="HA3694" s="29"/>
      <c r="HB3694" s="29"/>
      <c r="HC3694" s="29"/>
      <c r="HD3694" s="29"/>
      <c r="HE3694" s="29"/>
      <c r="HF3694" s="29"/>
      <c r="HG3694" s="29"/>
      <c r="HH3694" s="29"/>
      <c r="HI3694" s="29"/>
      <c r="HJ3694" s="29"/>
      <c r="HK3694" s="29"/>
      <c r="HL3694" s="29"/>
      <c r="HM3694" s="29"/>
      <c r="HN3694" s="29"/>
      <c r="HO3694" s="29"/>
      <c r="HP3694" s="29"/>
      <c r="HQ3694" s="29"/>
      <c r="HR3694" s="29"/>
      <c r="HS3694" s="29"/>
      <c r="HT3694" s="29"/>
      <c r="HU3694" s="29"/>
      <c r="HV3694" s="29"/>
      <c r="HW3694" s="29"/>
      <c r="HX3694" s="29"/>
      <c r="HY3694" s="29"/>
      <c r="HZ3694" s="29"/>
      <c r="IA3694" s="29"/>
      <c r="IB3694" s="29"/>
      <c r="IC3694" s="29"/>
      <c r="ID3694" s="29"/>
      <c r="IE3694" s="29"/>
      <c r="IF3694" s="29"/>
      <c r="IG3694" s="29"/>
      <c r="IH3694" s="29"/>
      <c r="II3694" s="29"/>
      <c r="IJ3694" s="29"/>
      <c r="IK3694" s="29"/>
      <c r="IL3694" s="29"/>
      <c r="IM3694" s="29"/>
      <c r="IN3694" s="29"/>
      <c r="IO3694" s="29"/>
      <c r="IP3694" s="29"/>
      <c r="IQ3694" s="29"/>
      <c r="IR3694" s="29"/>
      <c r="IS3694" s="29"/>
      <c r="IT3694" s="29"/>
      <c r="IU3694" s="29"/>
      <c r="IV3694" s="29"/>
      <c r="IW3694" s="29"/>
      <c r="IX3694" s="29"/>
      <c r="IY3694" s="29"/>
      <c r="IZ3694" s="29"/>
      <c r="JA3694" s="29"/>
      <c r="JB3694" s="29"/>
    </row>
    <row r="3695" spans="1:262" s="28" customFormat="1">
      <c r="A3695" s="29"/>
      <c r="B3695" s="29"/>
      <c r="C3695" s="29"/>
      <c r="D3695" s="29"/>
      <c r="E3695" s="29"/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  <c r="P3695" s="29"/>
      <c r="Q3695" s="29"/>
      <c r="R3695" s="29"/>
      <c r="S3695" s="29"/>
      <c r="T3695" s="29"/>
      <c r="U3695" s="29"/>
      <c r="V3695" s="29"/>
      <c r="GK3695" s="29"/>
      <c r="GL3695" s="29"/>
      <c r="GM3695" s="29"/>
      <c r="GN3695" s="29"/>
      <c r="GO3695" s="29"/>
      <c r="GP3695" s="29"/>
      <c r="GQ3695" s="29"/>
      <c r="GR3695" s="29"/>
      <c r="GS3695" s="29"/>
      <c r="GT3695" s="29"/>
      <c r="GU3695" s="29"/>
      <c r="GV3695" s="29"/>
      <c r="GW3695" s="29"/>
      <c r="GX3695" s="29"/>
      <c r="GY3695" s="29"/>
      <c r="GZ3695" s="29"/>
      <c r="HA3695" s="29"/>
      <c r="HB3695" s="29"/>
      <c r="HC3695" s="29"/>
      <c r="HD3695" s="29"/>
      <c r="HE3695" s="29"/>
      <c r="HF3695" s="29"/>
      <c r="HG3695" s="29"/>
      <c r="HH3695" s="29"/>
      <c r="HI3695" s="29"/>
      <c r="HJ3695" s="29"/>
      <c r="HK3695" s="29"/>
      <c r="HL3695" s="29"/>
      <c r="HM3695" s="29"/>
      <c r="HN3695" s="29"/>
      <c r="HO3695" s="29"/>
      <c r="HP3695" s="29"/>
      <c r="HQ3695" s="29"/>
      <c r="HR3695" s="29"/>
      <c r="HS3695" s="29"/>
      <c r="HT3695" s="29"/>
      <c r="HU3695" s="29"/>
      <c r="HV3695" s="29"/>
      <c r="HW3695" s="29"/>
      <c r="HX3695" s="29"/>
      <c r="HY3695" s="29"/>
      <c r="HZ3695" s="29"/>
      <c r="IA3695" s="29"/>
      <c r="IB3695" s="29"/>
      <c r="IC3695" s="29"/>
      <c r="ID3695" s="29"/>
      <c r="IE3695" s="29"/>
      <c r="IF3695" s="29"/>
      <c r="IG3695" s="29"/>
      <c r="IH3695" s="29"/>
      <c r="II3695" s="29"/>
      <c r="IJ3695" s="29"/>
      <c r="IK3695" s="29"/>
      <c r="IL3695" s="29"/>
      <c r="IM3695" s="29"/>
      <c r="IN3695" s="29"/>
      <c r="IO3695" s="29"/>
      <c r="IP3695" s="29"/>
      <c r="IQ3695" s="29"/>
      <c r="IR3695" s="29"/>
      <c r="IS3695" s="29"/>
      <c r="IT3695" s="29"/>
      <c r="IU3695" s="29"/>
      <c r="IV3695" s="29"/>
      <c r="IW3695" s="29"/>
      <c r="IX3695" s="29"/>
      <c r="IY3695" s="29"/>
      <c r="IZ3695" s="29"/>
      <c r="JA3695" s="29"/>
      <c r="JB3695" s="29"/>
    </row>
    <row r="3696" spans="1:262" s="28" customFormat="1">
      <c r="A3696" s="29"/>
      <c r="B3696" s="29"/>
      <c r="C3696" s="29"/>
      <c r="D3696" s="29"/>
      <c r="E3696" s="29"/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29"/>
      <c r="Q3696" s="29"/>
      <c r="R3696" s="29"/>
      <c r="S3696" s="29"/>
      <c r="T3696" s="29"/>
      <c r="U3696" s="29"/>
      <c r="V3696" s="29"/>
      <c r="GK3696" s="29"/>
      <c r="GL3696" s="29"/>
      <c r="GM3696" s="29"/>
      <c r="GN3696" s="29"/>
      <c r="GO3696" s="29"/>
      <c r="GP3696" s="29"/>
      <c r="GQ3696" s="29"/>
      <c r="GR3696" s="29"/>
      <c r="GS3696" s="29"/>
      <c r="GT3696" s="29"/>
      <c r="GU3696" s="29"/>
      <c r="GV3696" s="29"/>
      <c r="GW3696" s="29"/>
      <c r="GX3696" s="29"/>
      <c r="GY3696" s="29"/>
      <c r="GZ3696" s="29"/>
      <c r="HA3696" s="29"/>
      <c r="HB3696" s="29"/>
      <c r="HC3696" s="29"/>
      <c r="HD3696" s="29"/>
      <c r="HE3696" s="29"/>
      <c r="HF3696" s="29"/>
      <c r="HG3696" s="29"/>
      <c r="HH3696" s="29"/>
      <c r="HI3696" s="29"/>
      <c r="HJ3696" s="29"/>
      <c r="HK3696" s="29"/>
      <c r="HL3696" s="29"/>
      <c r="HM3696" s="29"/>
      <c r="HN3696" s="29"/>
      <c r="HO3696" s="29"/>
      <c r="HP3696" s="29"/>
      <c r="HQ3696" s="29"/>
      <c r="HR3696" s="29"/>
      <c r="HS3696" s="29"/>
      <c r="HT3696" s="29"/>
      <c r="HU3696" s="29"/>
      <c r="HV3696" s="29"/>
      <c r="HW3696" s="29"/>
      <c r="HX3696" s="29"/>
      <c r="HY3696" s="29"/>
      <c r="HZ3696" s="29"/>
      <c r="IA3696" s="29"/>
      <c r="IB3696" s="29"/>
      <c r="IC3696" s="29"/>
      <c r="ID3696" s="29"/>
      <c r="IE3696" s="29"/>
      <c r="IF3696" s="29"/>
      <c r="IG3696" s="29"/>
      <c r="IH3696" s="29"/>
      <c r="II3696" s="29"/>
      <c r="IJ3696" s="29"/>
      <c r="IK3696" s="29"/>
      <c r="IL3696" s="29"/>
      <c r="IM3696" s="29"/>
      <c r="IN3696" s="29"/>
      <c r="IO3696" s="29"/>
      <c r="IP3696" s="29"/>
      <c r="IQ3696" s="29"/>
      <c r="IR3696" s="29"/>
      <c r="IS3696" s="29"/>
      <c r="IT3696" s="29"/>
      <c r="IU3696" s="29"/>
      <c r="IV3696" s="29"/>
      <c r="IW3696" s="29"/>
      <c r="IX3696" s="29"/>
      <c r="IY3696" s="29"/>
      <c r="IZ3696" s="29"/>
      <c r="JA3696" s="29"/>
      <c r="JB3696" s="29"/>
    </row>
    <row r="3697" spans="1:262" s="28" customFormat="1">
      <c r="A3697" s="29"/>
      <c r="B3697" s="29"/>
      <c r="C3697" s="29"/>
      <c r="D3697" s="29"/>
      <c r="E3697" s="29"/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GK3697" s="29"/>
      <c r="GL3697" s="29"/>
      <c r="GM3697" s="29"/>
      <c r="GN3697" s="29"/>
      <c r="GO3697" s="29"/>
      <c r="GP3697" s="29"/>
      <c r="GQ3697" s="29"/>
      <c r="GR3697" s="29"/>
      <c r="GS3697" s="29"/>
      <c r="GT3697" s="29"/>
      <c r="GU3697" s="29"/>
      <c r="GV3697" s="29"/>
      <c r="GW3697" s="29"/>
      <c r="GX3697" s="29"/>
      <c r="GY3697" s="29"/>
      <c r="GZ3697" s="29"/>
      <c r="HA3697" s="29"/>
      <c r="HB3697" s="29"/>
      <c r="HC3697" s="29"/>
      <c r="HD3697" s="29"/>
      <c r="HE3697" s="29"/>
      <c r="HF3697" s="29"/>
      <c r="HG3697" s="29"/>
      <c r="HH3697" s="29"/>
      <c r="HI3697" s="29"/>
      <c r="HJ3697" s="29"/>
      <c r="HK3697" s="29"/>
      <c r="HL3697" s="29"/>
      <c r="HM3697" s="29"/>
      <c r="HN3697" s="29"/>
      <c r="HO3697" s="29"/>
      <c r="HP3697" s="29"/>
      <c r="HQ3697" s="29"/>
      <c r="HR3697" s="29"/>
      <c r="HS3697" s="29"/>
      <c r="HT3697" s="29"/>
      <c r="HU3697" s="29"/>
      <c r="HV3697" s="29"/>
      <c r="HW3697" s="29"/>
      <c r="HX3697" s="29"/>
      <c r="HY3697" s="29"/>
      <c r="HZ3697" s="29"/>
      <c r="IA3697" s="29"/>
      <c r="IB3697" s="29"/>
      <c r="IC3697" s="29"/>
      <c r="ID3697" s="29"/>
      <c r="IE3697" s="29"/>
      <c r="IF3697" s="29"/>
      <c r="IG3697" s="29"/>
      <c r="IH3697" s="29"/>
      <c r="II3697" s="29"/>
      <c r="IJ3697" s="29"/>
      <c r="IK3697" s="29"/>
      <c r="IL3697" s="29"/>
      <c r="IM3697" s="29"/>
      <c r="IN3697" s="29"/>
      <c r="IO3697" s="29"/>
      <c r="IP3697" s="29"/>
      <c r="IQ3697" s="29"/>
      <c r="IR3697" s="29"/>
      <c r="IS3697" s="29"/>
      <c r="IT3697" s="29"/>
      <c r="IU3697" s="29"/>
      <c r="IV3697" s="29"/>
      <c r="IW3697" s="29"/>
      <c r="IX3697" s="29"/>
      <c r="IY3697" s="29"/>
      <c r="IZ3697" s="29"/>
      <c r="JA3697" s="29"/>
      <c r="JB3697" s="29"/>
    </row>
    <row r="3698" spans="1:262" s="28" customFormat="1">
      <c r="A3698" s="29"/>
      <c r="B3698" s="29"/>
      <c r="C3698" s="29"/>
      <c r="D3698" s="29"/>
      <c r="E3698" s="29"/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  <c r="P3698" s="29"/>
      <c r="Q3698" s="29"/>
      <c r="R3698" s="29"/>
      <c r="S3698" s="29"/>
      <c r="T3698" s="29"/>
      <c r="U3698" s="29"/>
      <c r="V3698" s="29"/>
      <c r="GK3698" s="29"/>
      <c r="GL3698" s="29"/>
      <c r="GM3698" s="29"/>
      <c r="GN3698" s="29"/>
      <c r="GO3698" s="29"/>
      <c r="GP3698" s="29"/>
      <c r="GQ3698" s="29"/>
      <c r="GR3698" s="29"/>
      <c r="GS3698" s="29"/>
      <c r="GT3698" s="29"/>
      <c r="GU3698" s="29"/>
      <c r="GV3698" s="29"/>
      <c r="GW3698" s="29"/>
      <c r="GX3698" s="29"/>
      <c r="GY3698" s="29"/>
      <c r="GZ3698" s="29"/>
      <c r="HA3698" s="29"/>
      <c r="HB3698" s="29"/>
      <c r="HC3698" s="29"/>
      <c r="HD3698" s="29"/>
      <c r="HE3698" s="29"/>
      <c r="HF3698" s="29"/>
      <c r="HG3698" s="29"/>
      <c r="HH3698" s="29"/>
      <c r="HI3698" s="29"/>
      <c r="HJ3698" s="29"/>
      <c r="HK3698" s="29"/>
      <c r="HL3698" s="29"/>
      <c r="HM3698" s="29"/>
      <c r="HN3698" s="29"/>
      <c r="HO3698" s="29"/>
      <c r="HP3698" s="29"/>
      <c r="HQ3698" s="29"/>
      <c r="HR3698" s="29"/>
      <c r="HS3698" s="29"/>
      <c r="HT3698" s="29"/>
      <c r="HU3698" s="29"/>
      <c r="HV3698" s="29"/>
      <c r="HW3698" s="29"/>
      <c r="HX3698" s="29"/>
      <c r="HY3698" s="29"/>
      <c r="HZ3698" s="29"/>
      <c r="IA3698" s="29"/>
      <c r="IB3698" s="29"/>
      <c r="IC3698" s="29"/>
      <c r="ID3698" s="29"/>
      <c r="IE3698" s="29"/>
      <c r="IF3698" s="29"/>
      <c r="IG3698" s="29"/>
      <c r="IH3698" s="29"/>
      <c r="II3698" s="29"/>
      <c r="IJ3698" s="29"/>
      <c r="IK3698" s="29"/>
      <c r="IL3698" s="29"/>
      <c r="IM3698" s="29"/>
      <c r="IN3698" s="29"/>
      <c r="IO3698" s="29"/>
      <c r="IP3698" s="29"/>
      <c r="IQ3698" s="29"/>
      <c r="IR3698" s="29"/>
      <c r="IS3698" s="29"/>
      <c r="IT3698" s="29"/>
      <c r="IU3698" s="29"/>
      <c r="IV3698" s="29"/>
      <c r="IW3698" s="29"/>
      <c r="IX3698" s="29"/>
      <c r="IY3698" s="29"/>
      <c r="IZ3698" s="29"/>
      <c r="JA3698" s="29"/>
      <c r="JB3698" s="29"/>
    </row>
    <row r="3699" spans="1:262" s="28" customFormat="1">
      <c r="A3699" s="29"/>
      <c r="B3699" s="29"/>
      <c r="C3699" s="29"/>
      <c r="D3699" s="29"/>
      <c r="E3699" s="29"/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GK3699" s="29"/>
      <c r="GL3699" s="29"/>
      <c r="GM3699" s="29"/>
      <c r="GN3699" s="29"/>
      <c r="GO3699" s="29"/>
      <c r="GP3699" s="29"/>
      <c r="GQ3699" s="29"/>
      <c r="GR3699" s="29"/>
      <c r="GS3699" s="29"/>
      <c r="GT3699" s="29"/>
      <c r="GU3699" s="29"/>
      <c r="GV3699" s="29"/>
      <c r="GW3699" s="29"/>
      <c r="GX3699" s="29"/>
      <c r="GY3699" s="29"/>
      <c r="GZ3699" s="29"/>
      <c r="HA3699" s="29"/>
      <c r="HB3699" s="29"/>
      <c r="HC3699" s="29"/>
      <c r="HD3699" s="29"/>
      <c r="HE3699" s="29"/>
      <c r="HF3699" s="29"/>
      <c r="HG3699" s="29"/>
      <c r="HH3699" s="29"/>
      <c r="HI3699" s="29"/>
      <c r="HJ3699" s="29"/>
      <c r="HK3699" s="29"/>
      <c r="HL3699" s="29"/>
      <c r="HM3699" s="29"/>
      <c r="HN3699" s="29"/>
      <c r="HO3699" s="29"/>
      <c r="HP3699" s="29"/>
      <c r="HQ3699" s="29"/>
      <c r="HR3699" s="29"/>
      <c r="HS3699" s="29"/>
      <c r="HT3699" s="29"/>
      <c r="HU3699" s="29"/>
      <c r="HV3699" s="29"/>
      <c r="HW3699" s="29"/>
      <c r="HX3699" s="29"/>
      <c r="HY3699" s="29"/>
      <c r="HZ3699" s="29"/>
      <c r="IA3699" s="29"/>
      <c r="IB3699" s="29"/>
      <c r="IC3699" s="29"/>
      <c r="ID3699" s="29"/>
      <c r="IE3699" s="29"/>
      <c r="IF3699" s="29"/>
      <c r="IG3699" s="29"/>
      <c r="IH3699" s="29"/>
      <c r="II3699" s="29"/>
      <c r="IJ3699" s="29"/>
      <c r="IK3699" s="29"/>
      <c r="IL3699" s="29"/>
      <c r="IM3699" s="29"/>
      <c r="IN3699" s="29"/>
      <c r="IO3699" s="29"/>
      <c r="IP3699" s="29"/>
      <c r="IQ3699" s="29"/>
      <c r="IR3699" s="29"/>
      <c r="IS3699" s="29"/>
      <c r="IT3699" s="29"/>
      <c r="IU3699" s="29"/>
      <c r="IV3699" s="29"/>
      <c r="IW3699" s="29"/>
      <c r="IX3699" s="29"/>
      <c r="IY3699" s="29"/>
      <c r="IZ3699" s="29"/>
      <c r="JA3699" s="29"/>
      <c r="JB3699" s="29"/>
    </row>
    <row r="3700" spans="1:262" s="28" customFormat="1">
      <c r="A3700" s="29"/>
      <c r="B3700" s="29"/>
      <c r="C3700" s="29"/>
      <c r="D3700" s="29"/>
      <c r="E3700" s="29"/>
      <c r="F3700" s="29"/>
      <c r="G3700" s="29"/>
      <c r="H3700" s="29"/>
      <c r="I3700" s="29"/>
      <c r="J3700" s="29"/>
      <c r="K3700" s="29"/>
      <c r="L3700" s="29"/>
      <c r="M3700" s="29"/>
      <c r="N3700" s="29"/>
      <c r="O3700" s="29"/>
      <c r="P3700" s="29"/>
      <c r="Q3700" s="29"/>
      <c r="R3700" s="29"/>
      <c r="S3700" s="29"/>
      <c r="T3700" s="29"/>
      <c r="U3700" s="29"/>
      <c r="V3700" s="29"/>
      <c r="GK3700" s="29"/>
      <c r="GL3700" s="29"/>
      <c r="GM3700" s="29"/>
      <c r="GN3700" s="29"/>
      <c r="GO3700" s="29"/>
      <c r="GP3700" s="29"/>
      <c r="GQ3700" s="29"/>
      <c r="GR3700" s="29"/>
      <c r="GS3700" s="29"/>
      <c r="GT3700" s="29"/>
      <c r="GU3700" s="29"/>
      <c r="GV3700" s="29"/>
      <c r="GW3700" s="29"/>
      <c r="GX3700" s="29"/>
      <c r="GY3700" s="29"/>
      <c r="GZ3700" s="29"/>
      <c r="HA3700" s="29"/>
      <c r="HB3700" s="29"/>
      <c r="HC3700" s="29"/>
      <c r="HD3700" s="29"/>
      <c r="HE3700" s="29"/>
      <c r="HF3700" s="29"/>
      <c r="HG3700" s="29"/>
      <c r="HH3700" s="29"/>
      <c r="HI3700" s="29"/>
      <c r="HJ3700" s="29"/>
      <c r="HK3700" s="29"/>
      <c r="HL3700" s="29"/>
      <c r="HM3700" s="29"/>
      <c r="HN3700" s="29"/>
      <c r="HO3700" s="29"/>
      <c r="HP3700" s="29"/>
      <c r="HQ3700" s="29"/>
      <c r="HR3700" s="29"/>
      <c r="HS3700" s="29"/>
      <c r="HT3700" s="29"/>
      <c r="HU3700" s="29"/>
      <c r="HV3700" s="29"/>
      <c r="HW3700" s="29"/>
      <c r="HX3700" s="29"/>
      <c r="HY3700" s="29"/>
      <c r="HZ3700" s="29"/>
      <c r="IA3700" s="29"/>
      <c r="IB3700" s="29"/>
      <c r="IC3700" s="29"/>
      <c r="ID3700" s="29"/>
      <c r="IE3700" s="29"/>
      <c r="IF3700" s="29"/>
      <c r="IG3700" s="29"/>
      <c r="IH3700" s="29"/>
      <c r="II3700" s="29"/>
      <c r="IJ3700" s="29"/>
      <c r="IK3700" s="29"/>
      <c r="IL3700" s="29"/>
      <c r="IM3700" s="29"/>
      <c r="IN3700" s="29"/>
      <c r="IO3700" s="29"/>
      <c r="IP3700" s="29"/>
      <c r="IQ3700" s="29"/>
      <c r="IR3700" s="29"/>
      <c r="IS3700" s="29"/>
      <c r="IT3700" s="29"/>
      <c r="IU3700" s="29"/>
      <c r="IV3700" s="29"/>
      <c r="IW3700" s="29"/>
      <c r="IX3700" s="29"/>
      <c r="IY3700" s="29"/>
      <c r="IZ3700" s="29"/>
      <c r="JA3700" s="29"/>
      <c r="JB3700" s="29"/>
    </row>
    <row r="3701" spans="1:262" s="28" customFormat="1">
      <c r="A3701" s="29"/>
      <c r="B3701" s="29"/>
      <c r="C3701" s="29"/>
      <c r="D3701" s="29"/>
      <c r="E3701" s="29"/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GK3701" s="29"/>
      <c r="GL3701" s="29"/>
      <c r="GM3701" s="29"/>
      <c r="GN3701" s="29"/>
      <c r="GO3701" s="29"/>
      <c r="GP3701" s="29"/>
      <c r="GQ3701" s="29"/>
      <c r="GR3701" s="29"/>
      <c r="GS3701" s="29"/>
      <c r="GT3701" s="29"/>
      <c r="GU3701" s="29"/>
      <c r="GV3701" s="29"/>
      <c r="GW3701" s="29"/>
      <c r="GX3701" s="29"/>
      <c r="GY3701" s="29"/>
      <c r="GZ3701" s="29"/>
      <c r="HA3701" s="29"/>
      <c r="HB3701" s="29"/>
      <c r="HC3701" s="29"/>
      <c r="HD3701" s="29"/>
      <c r="HE3701" s="29"/>
      <c r="HF3701" s="29"/>
      <c r="HG3701" s="29"/>
      <c r="HH3701" s="29"/>
      <c r="HI3701" s="29"/>
      <c r="HJ3701" s="29"/>
      <c r="HK3701" s="29"/>
      <c r="HL3701" s="29"/>
      <c r="HM3701" s="29"/>
      <c r="HN3701" s="29"/>
      <c r="HO3701" s="29"/>
      <c r="HP3701" s="29"/>
      <c r="HQ3701" s="29"/>
      <c r="HR3701" s="29"/>
      <c r="HS3701" s="29"/>
      <c r="HT3701" s="29"/>
      <c r="HU3701" s="29"/>
      <c r="HV3701" s="29"/>
      <c r="HW3701" s="29"/>
      <c r="HX3701" s="29"/>
      <c r="HY3701" s="29"/>
      <c r="HZ3701" s="29"/>
      <c r="IA3701" s="29"/>
      <c r="IB3701" s="29"/>
      <c r="IC3701" s="29"/>
      <c r="ID3701" s="29"/>
      <c r="IE3701" s="29"/>
      <c r="IF3701" s="29"/>
      <c r="IG3701" s="29"/>
      <c r="IH3701" s="29"/>
      <c r="II3701" s="29"/>
      <c r="IJ3701" s="29"/>
      <c r="IK3701" s="29"/>
      <c r="IL3701" s="29"/>
      <c r="IM3701" s="29"/>
      <c r="IN3701" s="29"/>
      <c r="IO3701" s="29"/>
      <c r="IP3701" s="29"/>
      <c r="IQ3701" s="29"/>
      <c r="IR3701" s="29"/>
      <c r="IS3701" s="29"/>
      <c r="IT3701" s="29"/>
      <c r="IU3701" s="29"/>
      <c r="IV3701" s="29"/>
      <c r="IW3701" s="29"/>
      <c r="IX3701" s="29"/>
      <c r="IY3701" s="29"/>
      <c r="IZ3701" s="29"/>
      <c r="JA3701" s="29"/>
      <c r="JB3701" s="29"/>
    </row>
    <row r="3702" spans="1:262" s="28" customFormat="1">
      <c r="A3702" s="29"/>
      <c r="B3702" s="29"/>
      <c r="C3702" s="29"/>
      <c r="D3702" s="29"/>
      <c r="E3702" s="29"/>
      <c r="F3702" s="29"/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GK3702" s="29"/>
      <c r="GL3702" s="29"/>
      <c r="GM3702" s="29"/>
      <c r="GN3702" s="29"/>
      <c r="GO3702" s="29"/>
      <c r="GP3702" s="29"/>
      <c r="GQ3702" s="29"/>
      <c r="GR3702" s="29"/>
      <c r="GS3702" s="29"/>
      <c r="GT3702" s="29"/>
      <c r="GU3702" s="29"/>
      <c r="GV3702" s="29"/>
      <c r="GW3702" s="29"/>
      <c r="GX3702" s="29"/>
      <c r="GY3702" s="29"/>
      <c r="GZ3702" s="29"/>
      <c r="HA3702" s="29"/>
      <c r="HB3702" s="29"/>
      <c r="HC3702" s="29"/>
      <c r="HD3702" s="29"/>
      <c r="HE3702" s="29"/>
      <c r="HF3702" s="29"/>
      <c r="HG3702" s="29"/>
      <c r="HH3702" s="29"/>
      <c r="HI3702" s="29"/>
      <c r="HJ3702" s="29"/>
      <c r="HK3702" s="29"/>
      <c r="HL3702" s="29"/>
      <c r="HM3702" s="29"/>
      <c r="HN3702" s="29"/>
      <c r="HO3702" s="29"/>
      <c r="HP3702" s="29"/>
      <c r="HQ3702" s="29"/>
      <c r="HR3702" s="29"/>
      <c r="HS3702" s="29"/>
      <c r="HT3702" s="29"/>
      <c r="HU3702" s="29"/>
      <c r="HV3702" s="29"/>
      <c r="HW3702" s="29"/>
      <c r="HX3702" s="29"/>
      <c r="HY3702" s="29"/>
      <c r="HZ3702" s="29"/>
      <c r="IA3702" s="29"/>
      <c r="IB3702" s="29"/>
      <c r="IC3702" s="29"/>
      <c r="ID3702" s="29"/>
      <c r="IE3702" s="29"/>
      <c r="IF3702" s="29"/>
      <c r="IG3702" s="29"/>
      <c r="IH3702" s="29"/>
      <c r="II3702" s="29"/>
      <c r="IJ3702" s="29"/>
      <c r="IK3702" s="29"/>
      <c r="IL3702" s="29"/>
      <c r="IM3702" s="29"/>
      <c r="IN3702" s="29"/>
      <c r="IO3702" s="29"/>
      <c r="IP3702" s="29"/>
      <c r="IQ3702" s="29"/>
      <c r="IR3702" s="29"/>
      <c r="IS3702" s="29"/>
      <c r="IT3702" s="29"/>
      <c r="IU3702" s="29"/>
      <c r="IV3702" s="29"/>
      <c r="IW3702" s="29"/>
      <c r="IX3702" s="29"/>
      <c r="IY3702" s="29"/>
      <c r="IZ3702" s="29"/>
      <c r="JA3702" s="29"/>
      <c r="JB3702" s="29"/>
    </row>
    <row r="3703" spans="1:262" s="28" customFormat="1">
      <c r="A3703" s="29"/>
      <c r="B3703" s="29"/>
      <c r="C3703" s="29"/>
      <c r="D3703" s="29"/>
      <c r="E3703" s="29"/>
      <c r="F3703" s="29"/>
      <c r="G3703" s="29"/>
      <c r="H3703" s="29"/>
      <c r="I3703" s="29"/>
      <c r="J3703" s="29"/>
      <c r="K3703" s="29"/>
      <c r="L3703" s="29"/>
      <c r="M3703" s="29"/>
      <c r="N3703" s="29"/>
      <c r="O3703" s="29"/>
      <c r="P3703" s="29"/>
      <c r="Q3703" s="29"/>
      <c r="R3703" s="29"/>
      <c r="S3703" s="29"/>
      <c r="T3703" s="29"/>
      <c r="U3703" s="29"/>
      <c r="V3703" s="29"/>
      <c r="GK3703" s="29"/>
      <c r="GL3703" s="29"/>
      <c r="GM3703" s="29"/>
      <c r="GN3703" s="29"/>
      <c r="GO3703" s="29"/>
      <c r="GP3703" s="29"/>
      <c r="GQ3703" s="29"/>
      <c r="GR3703" s="29"/>
      <c r="GS3703" s="29"/>
      <c r="GT3703" s="29"/>
      <c r="GU3703" s="29"/>
      <c r="GV3703" s="29"/>
      <c r="GW3703" s="29"/>
      <c r="GX3703" s="29"/>
      <c r="GY3703" s="29"/>
      <c r="GZ3703" s="29"/>
      <c r="HA3703" s="29"/>
      <c r="HB3703" s="29"/>
      <c r="HC3703" s="29"/>
      <c r="HD3703" s="29"/>
      <c r="HE3703" s="29"/>
      <c r="HF3703" s="29"/>
      <c r="HG3703" s="29"/>
      <c r="HH3703" s="29"/>
      <c r="HI3703" s="29"/>
      <c r="HJ3703" s="29"/>
      <c r="HK3703" s="29"/>
      <c r="HL3703" s="29"/>
      <c r="HM3703" s="29"/>
      <c r="HN3703" s="29"/>
      <c r="HO3703" s="29"/>
      <c r="HP3703" s="29"/>
      <c r="HQ3703" s="29"/>
      <c r="HR3703" s="29"/>
      <c r="HS3703" s="29"/>
      <c r="HT3703" s="29"/>
      <c r="HU3703" s="29"/>
      <c r="HV3703" s="29"/>
      <c r="HW3703" s="29"/>
      <c r="HX3703" s="29"/>
      <c r="HY3703" s="29"/>
      <c r="HZ3703" s="29"/>
      <c r="IA3703" s="29"/>
      <c r="IB3703" s="29"/>
      <c r="IC3703" s="29"/>
      <c r="ID3703" s="29"/>
      <c r="IE3703" s="29"/>
      <c r="IF3703" s="29"/>
      <c r="IG3703" s="29"/>
      <c r="IH3703" s="29"/>
      <c r="II3703" s="29"/>
      <c r="IJ3703" s="29"/>
      <c r="IK3703" s="29"/>
      <c r="IL3703" s="29"/>
      <c r="IM3703" s="29"/>
      <c r="IN3703" s="29"/>
      <c r="IO3703" s="29"/>
      <c r="IP3703" s="29"/>
      <c r="IQ3703" s="29"/>
      <c r="IR3703" s="29"/>
      <c r="IS3703" s="29"/>
      <c r="IT3703" s="29"/>
      <c r="IU3703" s="29"/>
      <c r="IV3703" s="29"/>
      <c r="IW3703" s="29"/>
      <c r="IX3703" s="29"/>
      <c r="IY3703" s="29"/>
      <c r="IZ3703" s="29"/>
      <c r="JA3703" s="29"/>
      <c r="JB3703" s="29"/>
    </row>
    <row r="3704" spans="1:262" s="28" customFormat="1">
      <c r="A3704" s="29"/>
      <c r="B3704" s="29"/>
      <c r="C3704" s="29"/>
      <c r="D3704" s="29"/>
      <c r="E3704" s="29"/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  <c r="P3704" s="29"/>
      <c r="Q3704" s="29"/>
      <c r="R3704" s="29"/>
      <c r="S3704" s="29"/>
      <c r="T3704" s="29"/>
      <c r="U3704" s="29"/>
      <c r="V3704" s="29"/>
      <c r="GK3704" s="29"/>
      <c r="GL3704" s="29"/>
      <c r="GM3704" s="29"/>
      <c r="GN3704" s="29"/>
      <c r="GO3704" s="29"/>
      <c r="GP3704" s="29"/>
      <c r="GQ3704" s="29"/>
      <c r="GR3704" s="29"/>
      <c r="GS3704" s="29"/>
      <c r="GT3704" s="29"/>
      <c r="GU3704" s="29"/>
      <c r="GV3704" s="29"/>
      <c r="GW3704" s="29"/>
      <c r="GX3704" s="29"/>
      <c r="GY3704" s="29"/>
      <c r="GZ3704" s="29"/>
      <c r="HA3704" s="29"/>
      <c r="HB3704" s="29"/>
      <c r="HC3704" s="29"/>
      <c r="HD3704" s="29"/>
      <c r="HE3704" s="29"/>
      <c r="HF3704" s="29"/>
      <c r="HG3704" s="29"/>
      <c r="HH3704" s="29"/>
      <c r="HI3704" s="29"/>
      <c r="HJ3704" s="29"/>
      <c r="HK3704" s="29"/>
      <c r="HL3704" s="29"/>
      <c r="HM3704" s="29"/>
      <c r="HN3704" s="29"/>
      <c r="HO3704" s="29"/>
      <c r="HP3704" s="29"/>
      <c r="HQ3704" s="29"/>
      <c r="HR3704" s="29"/>
      <c r="HS3704" s="29"/>
      <c r="HT3704" s="29"/>
      <c r="HU3704" s="29"/>
      <c r="HV3704" s="29"/>
      <c r="HW3704" s="29"/>
      <c r="HX3704" s="29"/>
      <c r="HY3704" s="29"/>
      <c r="HZ3704" s="29"/>
      <c r="IA3704" s="29"/>
      <c r="IB3704" s="29"/>
      <c r="IC3704" s="29"/>
      <c r="ID3704" s="29"/>
      <c r="IE3704" s="29"/>
      <c r="IF3704" s="29"/>
      <c r="IG3704" s="29"/>
      <c r="IH3704" s="29"/>
      <c r="II3704" s="29"/>
      <c r="IJ3704" s="29"/>
      <c r="IK3704" s="29"/>
      <c r="IL3704" s="29"/>
      <c r="IM3704" s="29"/>
      <c r="IN3704" s="29"/>
      <c r="IO3704" s="29"/>
      <c r="IP3704" s="29"/>
      <c r="IQ3704" s="29"/>
      <c r="IR3704" s="29"/>
      <c r="IS3704" s="29"/>
      <c r="IT3704" s="29"/>
      <c r="IU3704" s="29"/>
      <c r="IV3704" s="29"/>
      <c r="IW3704" s="29"/>
      <c r="IX3704" s="29"/>
      <c r="IY3704" s="29"/>
      <c r="IZ3704" s="29"/>
      <c r="JA3704" s="29"/>
      <c r="JB3704" s="29"/>
    </row>
    <row r="3705" spans="1:262" s="28" customFormat="1">
      <c r="A3705" s="29"/>
      <c r="B3705" s="29"/>
      <c r="C3705" s="29"/>
      <c r="D3705" s="29"/>
      <c r="E3705" s="29"/>
      <c r="F3705" s="29"/>
      <c r="G3705" s="29"/>
      <c r="H3705" s="29"/>
      <c r="I3705" s="29"/>
      <c r="J3705" s="29"/>
      <c r="K3705" s="29"/>
      <c r="L3705" s="29"/>
      <c r="M3705" s="29"/>
      <c r="N3705" s="29"/>
      <c r="O3705" s="29"/>
      <c r="P3705" s="29"/>
      <c r="Q3705" s="29"/>
      <c r="R3705" s="29"/>
      <c r="S3705" s="29"/>
      <c r="T3705" s="29"/>
      <c r="U3705" s="29"/>
      <c r="V3705" s="29"/>
      <c r="GK3705" s="29"/>
      <c r="GL3705" s="29"/>
      <c r="GM3705" s="29"/>
      <c r="GN3705" s="29"/>
      <c r="GO3705" s="29"/>
      <c r="GP3705" s="29"/>
      <c r="GQ3705" s="29"/>
      <c r="GR3705" s="29"/>
      <c r="GS3705" s="29"/>
      <c r="GT3705" s="29"/>
      <c r="GU3705" s="29"/>
      <c r="GV3705" s="29"/>
      <c r="GW3705" s="29"/>
      <c r="GX3705" s="29"/>
      <c r="GY3705" s="29"/>
      <c r="GZ3705" s="29"/>
      <c r="HA3705" s="29"/>
      <c r="HB3705" s="29"/>
      <c r="HC3705" s="29"/>
      <c r="HD3705" s="29"/>
      <c r="HE3705" s="29"/>
      <c r="HF3705" s="29"/>
      <c r="HG3705" s="29"/>
      <c r="HH3705" s="29"/>
      <c r="HI3705" s="29"/>
      <c r="HJ3705" s="29"/>
      <c r="HK3705" s="29"/>
      <c r="HL3705" s="29"/>
      <c r="HM3705" s="29"/>
      <c r="HN3705" s="29"/>
      <c r="HO3705" s="29"/>
      <c r="HP3705" s="29"/>
      <c r="HQ3705" s="29"/>
      <c r="HR3705" s="29"/>
      <c r="HS3705" s="29"/>
      <c r="HT3705" s="29"/>
      <c r="HU3705" s="29"/>
      <c r="HV3705" s="29"/>
      <c r="HW3705" s="29"/>
      <c r="HX3705" s="29"/>
      <c r="HY3705" s="29"/>
      <c r="HZ3705" s="29"/>
      <c r="IA3705" s="29"/>
      <c r="IB3705" s="29"/>
      <c r="IC3705" s="29"/>
      <c r="ID3705" s="29"/>
      <c r="IE3705" s="29"/>
      <c r="IF3705" s="29"/>
      <c r="IG3705" s="29"/>
      <c r="IH3705" s="29"/>
      <c r="II3705" s="29"/>
      <c r="IJ3705" s="29"/>
      <c r="IK3705" s="29"/>
      <c r="IL3705" s="29"/>
      <c r="IM3705" s="29"/>
      <c r="IN3705" s="29"/>
      <c r="IO3705" s="29"/>
      <c r="IP3705" s="29"/>
      <c r="IQ3705" s="29"/>
      <c r="IR3705" s="29"/>
      <c r="IS3705" s="29"/>
      <c r="IT3705" s="29"/>
      <c r="IU3705" s="29"/>
      <c r="IV3705" s="29"/>
      <c r="IW3705" s="29"/>
      <c r="IX3705" s="29"/>
      <c r="IY3705" s="29"/>
      <c r="IZ3705" s="29"/>
      <c r="JA3705" s="29"/>
      <c r="JB3705" s="29"/>
    </row>
    <row r="3706" spans="1:262" s="28" customFormat="1">
      <c r="A3706" s="29"/>
      <c r="B3706" s="29"/>
      <c r="C3706" s="29"/>
      <c r="D3706" s="29"/>
      <c r="E3706" s="29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GK3706" s="29"/>
      <c r="GL3706" s="29"/>
      <c r="GM3706" s="29"/>
      <c r="GN3706" s="29"/>
      <c r="GO3706" s="29"/>
      <c r="GP3706" s="29"/>
      <c r="GQ3706" s="29"/>
      <c r="GR3706" s="29"/>
      <c r="GS3706" s="29"/>
      <c r="GT3706" s="29"/>
      <c r="GU3706" s="29"/>
      <c r="GV3706" s="29"/>
      <c r="GW3706" s="29"/>
      <c r="GX3706" s="29"/>
      <c r="GY3706" s="29"/>
      <c r="GZ3706" s="29"/>
      <c r="HA3706" s="29"/>
      <c r="HB3706" s="29"/>
      <c r="HC3706" s="29"/>
      <c r="HD3706" s="29"/>
      <c r="HE3706" s="29"/>
      <c r="HF3706" s="29"/>
      <c r="HG3706" s="29"/>
      <c r="HH3706" s="29"/>
      <c r="HI3706" s="29"/>
      <c r="HJ3706" s="29"/>
      <c r="HK3706" s="29"/>
      <c r="HL3706" s="29"/>
      <c r="HM3706" s="29"/>
      <c r="HN3706" s="29"/>
      <c r="HO3706" s="29"/>
      <c r="HP3706" s="29"/>
      <c r="HQ3706" s="29"/>
      <c r="HR3706" s="29"/>
      <c r="HS3706" s="29"/>
      <c r="HT3706" s="29"/>
      <c r="HU3706" s="29"/>
      <c r="HV3706" s="29"/>
      <c r="HW3706" s="29"/>
      <c r="HX3706" s="29"/>
      <c r="HY3706" s="29"/>
      <c r="HZ3706" s="29"/>
      <c r="IA3706" s="29"/>
      <c r="IB3706" s="29"/>
      <c r="IC3706" s="29"/>
      <c r="ID3706" s="29"/>
      <c r="IE3706" s="29"/>
      <c r="IF3706" s="29"/>
      <c r="IG3706" s="29"/>
      <c r="IH3706" s="29"/>
      <c r="II3706" s="29"/>
      <c r="IJ3706" s="29"/>
      <c r="IK3706" s="29"/>
      <c r="IL3706" s="29"/>
      <c r="IM3706" s="29"/>
      <c r="IN3706" s="29"/>
      <c r="IO3706" s="29"/>
      <c r="IP3706" s="29"/>
      <c r="IQ3706" s="29"/>
      <c r="IR3706" s="29"/>
      <c r="IS3706" s="29"/>
      <c r="IT3706" s="29"/>
      <c r="IU3706" s="29"/>
      <c r="IV3706" s="29"/>
      <c r="IW3706" s="29"/>
      <c r="IX3706" s="29"/>
      <c r="IY3706" s="29"/>
      <c r="IZ3706" s="29"/>
      <c r="JA3706" s="29"/>
      <c r="JB3706" s="29"/>
    </row>
    <row r="3707" spans="1:262" s="28" customFormat="1">
      <c r="A3707" s="29"/>
      <c r="B3707" s="29"/>
      <c r="C3707" s="29"/>
      <c r="D3707" s="29"/>
      <c r="E3707" s="29"/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GK3707" s="29"/>
      <c r="GL3707" s="29"/>
      <c r="GM3707" s="29"/>
      <c r="GN3707" s="29"/>
      <c r="GO3707" s="29"/>
      <c r="GP3707" s="29"/>
      <c r="GQ3707" s="29"/>
      <c r="GR3707" s="29"/>
      <c r="GS3707" s="29"/>
      <c r="GT3707" s="29"/>
      <c r="GU3707" s="29"/>
      <c r="GV3707" s="29"/>
      <c r="GW3707" s="29"/>
      <c r="GX3707" s="29"/>
      <c r="GY3707" s="29"/>
      <c r="GZ3707" s="29"/>
      <c r="HA3707" s="29"/>
      <c r="HB3707" s="29"/>
      <c r="HC3707" s="29"/>
      <c r="HD3707" s="29"/>
      <c r="HE3707" s="29"/>
      <c r="HF3707" s="29"/>
      <c r="HG3707" s="29"/>
      <c r="HH3707" s="29"/>
      <c r="HI3707" s="29"/>
      <c r="HJ3707" s="29"/>
      <c r="HK3707" s="29"/>
      <c r="HL3707" s="29"/>
      <c r="HM3707" s="29"/>
      <c r="HN3707" s="29"/>
      <c r="HO3707" s="29"/>
      <c r="HP3707" s="29"/>
      <c r="HQ3707" s="29"/>
      <c r="HR3707" s="29"/>
      <c r="HS3707" s="29"/>
      <c r="HT3707" s="29"/>
      <c r="HU3707" s="29"/>
      <c r="HV3707" s="29"/>
      <c r="HW3707" s="29"/>
      <c r="HX3707" s="29"/>
      <c r="HY3707" s="29"/>
      <c r="HZ3707" s="29"/>
      <c r="IA3707" s="29"/>
      <c r="IB3707" s="29"/>
      <c r="IC3707" s="29"/>
      <c r="ID3707" s="29"/>
      <c r="IE3707" s="29"/>
      <c r="IF3707" s="29"/>
      <c r="IG3707" s="29"/>
      <c r="IH3707" s="29"/>
      <c r="II3707" s="29"/>
      <c r="IJ3707" s="29"/>
      <c r="IK3707" s="29"/>
      <c r="IL3707" s="29"/>
      <c r="IM3707" s="29"/>
      <c r="IN3707" s="29"/>
      <c r="IO3707" s="29"/>
      <c r="IP3707" s="29"/>
      <c r="IQ3707" s="29"/>
      <c r="IR3707" s="29"/>
      <c r="IS3707" s="29"/>
      <c r="IT3707" s="29"/>
      <c r="IU3707" s="29"/>
      <c r="IV3707" s="29"/>
      <c r="IW3707" s="29"/>
      <c r="IX3707" s="29"/>
      <c r="IY3707" s="29"/>
      <c r="IZ3707" s="29"/>
      <c r="JA3707" s="29"/>
      <c r="JB3707" s="29"/>
    </row>
    <row r="3708" spans="1:262" s="28" customFormat="1">
      <c r="A3708" s="29"/>
      <c r="B3708" s="29"/>
      <c r="C3708" s="29"/>
      <c r="D3708" s="29"/>
      <c r="E3708" s="29"/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GK3708" s="29"/>
      <c r="GL3708" s="29"/>
      <c r="GM3708" s="29"/>
      <c r="GN3708" s="29"/>
      <c r="GO3708" s="29"/>
      <c r="GP3708" s="29"/>
      <c r="GQ3708" s="29"/>
      <c r="GR3708" s="29"/>
      <c r="GS3708" s="29"/>
      <c r="GT3708" s="29"/>
      <c r="GU3708" s="29"/>
      <c r="GV3708" s="29"/>
      <c r="GW3708" s="29"/>
      <c r="GX3708" s="29"/>
      <c r="GY3708" s="29"/>
      <c r="GZ3708" s="29"/>
      <c r="HA3708" s="29"/>
      <c r="HB3708" s="29"/>
      <c r="HC3708" s="29"/>
      <c r="HD3708" s="29"/>
      <c r="HE3708" s="29"/>
      <c r="HF3708" s="29"/>
      <c r="HG3708" s="29"/>
      <c r="HH3708" s="29"/>
      <c r="HI3708" s="29"/>
      <c r="HJ3708" s="29"/>
      <c r="HK3708" s="29"/>
      <c r="HL3708" s="29"/>
      <c r="HM3708" s="29"/>
      <c r="HN3708" s="29"/>
      <c r="HO3708" s="29"/>
      <c r="HP3708" s="29"/>
      <c r="HQ3708" s="29"/>
      <c r="HR3708" s="29"/>
      <c r="HS3708" s="29"/>
      <c r="HT3708" s="29"/>
      <c r="HU3708" s="29"/>
      <c r="HV3708" s="29"/>
      <c r="HW3708" s="29"/>
      <c r="HX3708" s="29"/>
      <c r="HY3708" s="29"/>
      <c r="HZ3708" s="29"/>
      <c r="IA3708" s="29"/>
      <c r="IB3708" s="29"/>
      <c r="IC3708" s="29"/>
      <c r="ID3708" s="29"/>
      <c r="IE3708" s="29"/>
      <c r="IF3708" s="29"/>
      <c r="IG3708" s="29"/>
      <c r="IH3708" s="29"/>
      <c r="II3708" s="29"/>
      <c r="IJ3708" s="29"/>
      <c r="IK3708" s="29"/>
      <c r="IL3708" s="29"/>
      <c r="IM3708" s="29"/>
      <c r="IN3708" s="29"/>
      <c r="IO3708" s="29"/>
      <c r="IP3708" s="29"/>
      <c r="IQ3708" s="29"/>
      <c r="IR3708" s="29"/>
      <c r="IS3708" s="29"/>
      <c r="IT3708" s="29"/>
      <c r="IU3708" s="29"/>
      <c r="IV3708" s="29"/>
      <c r="IW3708" s="29"/>
      <c r="IX3708" s="29"/>
      <c r="IY3708" s="29"/>
      <c r="IZ3708" s="29"/>
      <c r="JA3708" s="29"/>
      <c r="JB3708" s="29"/>
    </row>
    <row r="3709" spans="1:262" s="28" customFormat="1">
      <c r="A3709" s="29"/>
      <c r="B3709" s="29"/>
      <c r="C3709" s="29"/>
      <c r="D3709" s="29"/>
      <c r="E3709" s="29"/>
      <c r="F3709" s="29"/>
      <c r="G3709" s="29"/>
      <c r="H3709" s="29"/>
      <c r="I3709" s="29"/>
      <c r="J3709" s="29"/>
      <c r="K3709" s="29"/>
      <c r="L3709" s="29"/>
      <c r="M3709" s="29"/>
      <c r="N3709" s="29"/>
      <c r="O3709" s="29"/>
      <c r="P3709" s="29"/>
      <c r="Q3709" s="29"/>
      <c r="R3709" s="29"/>
      <c r="S3709" s="29"/>
      <c r="T3709" s="29"/>
      <c r="U3709" s="29"/>
      <c r="V3709" s="29"/>
      <c r="GK3709" s="29"/>
      <c r="GL3709" s="29"/>
      <c r="GM3709" s="29"/>
      <c r="GN3709" s="29"/>
      <c r="GO3709" s="29"/>
      <c r="GP3709" s="29"/>
      <c r="GQ3709" s="29"/>
      <c r="GR3709" s="29"/>
      <c r="GS3709" s="29"/>
      <c r="GT3709" s="29"/>
      <c r="GU3709" s="29"/>
      <c r="GV3709" s="29"/>
      <c r="GW3709" s="29"/>
      <c r="GX3709" s="29"/>
      <c r="GY3709" s="29"/>
      <c r="GZ3709" s="29"/>
      <c r="HA3709" s="29"/>
      <c r="HB3709" s="29"/>
      <c r="HC3709" s="29"/>
      <c r="HD3709" s="29"/>
      <c r="HE3709" s="29"/>
      <c r="HF3709" s="29"/>
      <c r="HG3709" s="29"/>
      <c r="HH3709" s="29"/>
      <c r="HI3709" s="29"/>
      <c r="HJ3709" s="29"/>
      <c r="HK3709" s="29"/>
      <c r="HL3709" s="29"/>
      <c r="HM3709" s="29"/>
      <c r="HN3709" s="29"/>
      <c r="HO3709" s="29"/>
      <c r="HP3709" s="29"/>
      <c r="HQ3709" s="29"/>
      <c r="HR3709" s="29"/>
      <c r="HS3709" s="29"/>
      <c r="HT3709" s="29"/>
      <c r="HU3709" s="29"/>
      <c r="HV3709" s="29"/>
      <c r="HW3709" s="29"/>
      <c r="HX3709" s="29"/>
      <c r="HY3709" s="29"/>
      <c r="HZ3709" s="29"/>
      <c r="IA3709" s="29"/>
      <c r="IB3709" s="29"/>
      <c r="IC3709" s="29"/>
      <c r="ID3709" s="29"/>
      <c r="IE3709" s="29"/>
      <c r="IF3709" s="29"/>
      <c r="IG3709" s="29"/>
      <c r="IH3709" s="29"/>
      <c r="II3709" s="29"/>
      <c r="IJ3709" s="29"/>
      <c r="IK3709" s="29"/>
      <c r="IL3709" s="29"/>
      <c r="IM3709" s="29"/>
      <c r="IN3709" s="29"/>
      <c r="IO3709" s="29"/>
      <c r="IP3709" s="29"/>
      <c r="IQ3709" s="29"/>
      <c r="IR3709" s="29"/>
      <c r="IS3709" s="29"/>
      <c r="IT3709" s="29"/>
      <c r="IU3709" s="29"/>
      <c r="IV3709" s="29"/>
      <c r="IW3709" s="29"/>
      <c r="IX3709" s="29"/>
      <c r="IY3709" s="29"/>
      <c r="IZ3709" s="29"/>
      <c r="JA3709" s="29"/>
      <c r="JB3709" s="29"/>
    </row>
    <row r="3710" spans="1:262" s="28" customFormat="1">
      <c r="A3710" s="29"/>
      <c r="B3710" s="29"/>
      <c r="C3710" s="29"/>
      <c r="D3710" s="29"/>
      <c r="E3710" s="29"/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GK3710" s="29"/>
      <c r="GL3710" s="29"/>
      <c r="GM3710" s="29"/>
      <c r="GN3710" s="29"/>
      <c r="GO3710" s="29"/>
      <c r="GP3710" s="29"/>
      <c r="GQ3710" s="29"/>
      <c r="GR3710" s="29"/>
      <c r="GS3710" s="29"/>
      <c r="GT3710" s="29"/>
      <c r="GU3710" s="29"/>
      <c r="GV3710" s="29"/>
      <c r="GW3710" s="29"/>
      <c r="GX3710" s="29"/>
      <c r="GY3710" s="29"/>
      <c r="GZ3710" s="29"/>
      <c r="HA3710" s="29"/>
      <c r="HB3710" s="29"/>
      <c r="HC3710" s="29"/>
      <c r="HD3710" s="29"/>
      <c r="HE3710" s="29"/>
      <c r="HF3710" s="29"/>
      <c r="HG3710" s="29"/>
      <c r="HH3710" s="29"/>
      <c r="HI3710" s="29"/>
      <c r="HJ3710" s="29"/>
      <c r="HK3710" s="29"/>
      <c r="HL3710" s="29"/>
      <c r="HM3710" s="29"/>
      <c r="HN3710" s="29"/>
      <c r="HO3710" s="29"/>
      <c r="HP3710" s="29"/>
      <c r="HQ3710" s="29"/>
      <c r="HR3710" s="29"/>
      <c r="HS3710" s="29"/>
      <c r="HT3710" s="29"/>
      <c r="HU3710" s="29"/>
      <c r="HV3710" s="29"/>
      <c r="HW3710" s="29"/>
      <c r="HX3710" s="29"/>
      <c r="HY3710" s="29"/>
      <c r="HZ3710" s="29"/>
      <c r="IA3710" s="29"/>
      <c r="IB3710" s="29"/>
      <c r="IC3710" s="29"/>
      <c r="ID3710" s="29"/>
      <c r="IE3710" s="29"/>
      <c r="IF3710" s="29"/>
      <c r="IG3710" s="29"/>
      <c r="IH3710" s="29"/>
      <c r="II3710" s="29"/>
      <c r="IJ3710" s="29"/>
      <c r="IK3710" s="29"/>
      <c r="IL3710" s="29"/>
      <c r="IM3710" s="29"/>
      <c r="IN3710" s="29"/>
      <c r="IO3710" s="29"/>
      <c r="IP3710" s="29"/>
      <c r="IQ3710" s="29"/>
      <c r="IR3710" s="29"/>
      <c r="IS3710" s="29"/>
      <c r="IT3710" s="29"/>
      <c r="IU3710" s="29"/>
      <c r="IV3710" s="29"/>
      <c r="IW3710" s="29"/>
      <c r="IX3710" s="29"/>
      <c r="IY3710" s="29"/>
      <c r="IZ3710" s="29"/>
      <c r="JA3710" s="29"/>
      <c r="JB3710" s="29"/>
    </row>
    <row r="3711" spans="1:262" s="28" customFormat="1">
      <c r="A3711" s="29"/>
      <c r="B3711" s="29"/>
      <c r="C3711" s="29"/>
      <c r="D3711" s="29"/>
      <c r="E3711" s="29"/>
      <c r="F3711" s="29"/>
      <c r="G3711" s="29"/>
      <c r="H3711" s="29"/>
      <c r="I3711" s="29"/>
      <c r="J3711" s="29"/>
      <c r="K3711" s="29"/>
      <c r="L3711" s="29"/>
      <c r="M3711" s="29"/>
      <c r="N3711" s="29"/>
      <c r="O3711" s="29"/>
      <c r="P3711" s="29"/>
      <c r="Q3711" s="29"/>
      <c r="R3711" s="29"/>
      <c r="S3711" s="29"/>
      <c r="T3711" s="29"/>
      <c r="U3711" s="29"/>
      <c r="V3711" s="29"/>
      <c r="GK3711" s="29"/>
      <c r="GL3711" s="29"/>
      <c r="GM3711" s="29"/>
      <c r="GN3711" s="29"/>
      <c r="GO3711" s="29"/>
      <c r="GP3711" s="29"/>
      <c r="GQ3711" s="29"/>
      <c r="GR3711" s="29"/>
      <c r="GS3711" s="29"/>
      <c r="GT3711" s="29"/>
      <c r="GU3711" s="29"/>
      <c r="GV3711" s="29"/>
      <c r="GW3711" s="29"/>
      <c r="GX3711" s="29"/>
      <c r="GY3711" s="29"/>
      <c r="GZ3711" s="29"/>
      <c r="HA3711" s="29"/>
      <c r="HB3711" s="29"/>
      <c r="HC3711" s="29"/>
      <c r="HD3711" s="29"/>
      <c r="HE3711" s="29"/>
      <c r="HF3711" s="29"/>
      <c r="HG3711" s="29"/>
      <c r="HH3711" s="29"/>
      <c r="HI3711" s="29"/>
      <c r="HJ3711" s="29"/>
      <c r="HK3711" s="29"/>
      <c r="HL3711" s="29"/>
      <c r="HM3711" s="29"/>
      <c r="HN3711" s="29"/>
      <c r="HO3711" s="29"/>
      <c r="HP3711" s="29"/>
      <c r="HQ3711" s="29"/>
      <c r="HR3711" s="29"/>
      <c r="HS3711" s="29"/>
      <c r="HT3711" s="29"/>
      <c r="HU3711" s="29"/>
      <c r="HV3711" s="29"/>
      <c r="HW3711" s="29"/>
      <c r="HX3711" s="29"/>
      <c r="HY3711" s="29"/>
      <c r="HZ3711" s="29"/>
      <c r="IA3711" s="29"/>
      <c r="IB3711" s="29"/>
      <c r="IC3711" s="29"/>
      <c r="ID3711" s="29"/>
      <c r="IE3711" s="29"/>
      <c r="IF3711" s="29"/>
      <c r="IG3711" s="29"/>
      <c r="IH3711" s="29"/>
      <c r="II3711" s="29"/>
      <c r="IJ3711" s="29"/>
      <c r="IK3711" s="29"/>
      <c r="IL3711" s="29"/>
      <c r="IM3711" s="29"/>
      <c r="IN3711" s="29"/>
      <c r="IO3711" s="29"/>
      <c r="IP3711" s="29"/>
      <c r="IQ3711" s="29"/>
      <c r="IR3711" s="29"/>
      <c r="IS3711" s="29"/>
      <c r="IT3711" s="29"/>
      <c r="IU3711" s="29"/>
      <c r="IV3711" s="29"/>
      <c r="IW3711" s="29"/>
      <c r="IX3711" s="29"/>
      <c r="IY3711" s="29"/>
      <c r="IZ3711" s="29"/>
      <c r="JA3711" s="29"/>
      <c r="JB3711" s="29"/>
    </row>
    <row r="3712" spans="1:262" s="28" customFormat="1">
      <c r="A3712" s="29"/>
      <c r="B3712" s="29"/>
      <c r="C3712" s="29"/>
      <c r="D3712" s="29"/>
      <c r="E3712" s="29"/>
      <c r="F3712" s="29"/>
      <c r="G3712" s="29"/>
      <c r="H3712" s="29"/>
      <c r="I3712" s="29"/>
      <c r="J3712" s="29"/>
      <c r="K3712" s="29"/>
      <c r="L3712" s="29"/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GK3712" s="29"/>
      <c r="GL3712" s="29"/>
      <c r="GM3712" s="29"/>
      <c r="GN3712" s="29"/>
      <c r="GO3712" s="29"/>
      <c r="GP3712" s="29"/>
      <c r="GQ3712" s="29"/>
      <c r="GR3712" s="29"/>
      <c r="GS3712" s="29"/>
      <c r="GT3712" s="29"/>
      <c r="GU3712" s="29"/>
      <c r="GV3712" s="29"/>
      <c r="GW3712" s="29"/>
      <c r="GX3712" s="29"/>
      <c r="GY3712" s="29"/>
      <c r="GZ3712" s="29"/>
      <c r="HA3712" s="29"/>
      <c r="HB3712" s="29"/>
      <c r="HC3712" s="29"/>
      <c r="HD3712" s="29"/>
      <c r="HE3712" s="29"/>
      <c r="HF3712" s="29"/>
      <c r="HG3712" s="29"/>
      <c r="HH3712" s="29"/>
      <c r="HI3712" s="29"/>
      <c r="HJ3712" s="29"/>
      <c r="HK3712" s="29"/>
      <c r="HL3712" s="29"/>
      <c r="HM3712" s="29"/>
      <c r="HN3712" s="29"/>
      <c r="HO3712" s="29"/>
      <c r="HP3712" s="29"/>
      <c r="HQ3712" s="29"/>
      <c r="HR3712" s="29"/>
      <c r="HS3712" s="29"/>
      <c r="HT3712" s="29"/>
      <c r="HU3712" s="29"/>
      <c r="HV3712" s="29"/>
      <c r="HW3712" s="29"/>
      <c r="HX3712" s="29"/>
      <c r="HY3712" s="29"/>
      <c r="HZ3712" s="29"/>
      <c r="IA3712" s="29"/>
      <c r="IB3712" s="29"/>
      <c r="IC3712" s="29"/>
      <c r="ID3712" s="29"/>
      <c r="IE3712" s="29"/>
      <c r="IF3712" s="29"/>
      <c r="IG3712" s="29"/>
      <c r="IH3712" s="29"/>
      <c r="II3712" s="29"/>
      <c r="IJ3712" s="29"/>
      <c r="IK3712" s="29"/>
      <c r="IL3712" s="29"/>
      <c r="IM3712" s="29"/>
      <c r="IN3712" s="29"/>
      <c r="IO3712" s="29"/>
      <c r="IP3712" s="29"/>
      <c r="IQ3712" s="29"/>
      <c r="IR3712" s="29"/>
      <c r="IS3712" s="29"/>
      <c r="IT3712" s="29"/>
      <c r="IU3712" s="29"/>
      <c r="IV3712" s="29"/>
      <c r="IW3712" s="29"/>
      <c r="IX3712" s="29"/>
      <c r="IY3712" s="29"/>
      <c r="IZ3712" s="29"/>
      <c r="JA3712" s="29"/>
      <c r="JB3712" s="29"/>
    </row>
    <row r="3713" spans="1:262" s="28" customFormat="1">
      <c r="A3713" s="29"/>
      <c r="B3713" s="29"/>
      <c r="C3713" s="29"/>
      <c r="D3713" s="29"/>
      <c r="E3713" s="29"/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GK3713" s="29"/>
      <c r="GL3713" s="29"/>
      <c r="GM3713" s="29"/>
      <c r="GN3713" s="29"/>
      <c r="GO3713" s="29"/>
      <c r="GP3713" s="29"/>
      <c r="GQ3713" s="29"/>
      <c r="GR3713" s="29"/>
      <c r="GS3713" s="29"/>
      <c r="GT3713" s="29"/>
      <c r="GU3713" s="29"/>
      <c r="GV3713" s="29"/>
      <c r="GW3713" s="29"/>
      <c r="GX3713" s="29"/>
      <c r="GY3713" s="29"/>
      <c r="GZ3713" s="29"/>
      <c r="HA3713" s="29"/>
      <c r="HB3713" s="29"/>
      <c r="HC3713" s="29"/>
      <c r="HD3713" s="29"/>
      <c r="HE3713" s="29"/>
      <c r="HF3713" s="29"/>
      <c r="HG3713" s="29"/>
      <c r="HH3713" s="29"/>
      <c r="HI3713" s="29"/>
      <c r="HJ3713" s="29"/>
      <c r="HK3713" s="29"/>
      <c r="HL3713" s="29"/>
      <c r="HM3713" s="29"/>
      <c r="HN3713" s="29"/>
      <c r="HO3713" s="29"/>
      <c r="HP3713" s="29"/>
      <c r="HQ3713" s="29"/>
      <c r="HR3713" s="29"/>
      <c r="HS3713" s="29"/>
      <c r="HT3713" s="29"/>
      <c r="HU3713" s="29"/>
      <c r="HV3713" s="29"/>
      <c r="HW3713" s="29"/>
      <c r="HX3713" s="29"/>
      <c r="HY3713" s="29"/>
      <c r="HZ3713" s="29"/>
      <c r="IA3713" s="29"/>
      <c r="IB3713" s="29"/>
      <c r="IC3713" s="29"/>
      <c r="ID3713" s="29"/>
      <c r="IE3713" s="29"/>
      <c r="IF3713" s="29"/>
      <c r="IG3713" s="29"/>
      <c r="IH3713" s="29"/>
      <c r="II3713" s="29"/>
      <c r="IJ3713" s="29"/>
      <c r="IK3713" s="29"/>
      <c r="IL3713" s="29"/>
      <c r="IM3713" s="29"/>
      <c r="IN3713" s="29"/>
      <c r="IO3713" s="29"/>
      <c r="IP3713" s="29"/>
      <c r="IQ3713" s="29"/>
      <c r="IR3713" s="29"/>
      <c r="IS3713" s="29"/>
      <c r="IT3713" s="29"/>
      <c r="IU3713" s="29"/>
      <c r="IV3713" s="29"/>
      <c r="IW3713" s="29"/>
      <c r="IX3713" s="29"/>
      <c r="IY3713" s="29"/>
      <c r="IZ3713" s="29"/>
      <c r="JA3713" s="29"/>
      <c r="JB3713" s="29"/>
    </row>
    <row r="3714" spans="1:262" s="28" customFormat="1">
      <c r="A3714" s="29"/>
      <c r="B3714" s="29"/>
      <c r="C3714" s="29"/>
      <c r="D3714" s="29"/>
      <c r="E3714" s="29"/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  <c r="P3714" s="29"/>
      <c r="Q3714" s="29"/>
      <c r="R3714" s="29"/>
      <c r="S3714" s="29"/>
      <c r="T3714" s="29"/>
      <c r="U3714" s="29"/>
      <c r="V3714" s="29"/>
      <c r="GK3714" s="29"/>
      <c r="GL3714" s="29"/>
      <c r="GM3714" s="29"/>
      <c r="GN3714" s="29"/>
      <c r="GO3714" s="29"/>
      <c r="GP3714" s="29"/>
      <c r="GQ3714" s="29"/>
      <c r="GR3714" s="29"/>
      <c r="GS3714" s="29"/>
      <c r="GT3714" s="29"/>
      <c r="GU3714" s="29"/>
      <c r="GV3714" s="29"/>
      <c r="GW3714" s="29"/>
      <c r="GX3714" s="29"/>
      <c r="GY3714" s="29"/>
      <c r="GZ3714" s="29"/>
      <c r="HA3714" s="29"/>
      <c r="HB3714" s="29"/>
      <c r="HC3714" s="29"/>
      <c r="HD3714" s="29"/>
      <c r="HE3714" s="29"/>
      <c r="HF3714" s="29"/>
      <c r="HG3714" s="29"/>
      <c r="HH3714" s="29"/>
      <c r="HI3714" s="29"/>
      <c r="HJ3714" s="29"/>
      <c r="HK3714" s="29"/>
      <c r="HL3714" s="29"/>
      <c r="HM3714" s="29"/>
      <c r="HN3714" s="29"/>
      <c r="HO3714" s="29"/>
      <c r="HP3714" s="29"/>
      <c r="HQ3714" s="29"/>
      <c r="HR3714" s="29"/>
      <c r="HS3714" s="29"/>
      <c r="HT3714" s="29"/>
      <c r="HU3714" s="29"/>
      <c r="HV3714" s="29"/>
      <c r="HW3714" s="29"/>
      <c r="HX3714" s="29"/>
      <c r="HY3714" s="29"/>
      <c r="HZ3714" s="29"/>
      <c r="IA3714" s="29"/>
      <c r="IB3714" s="29"/>
      <c r="IC3714" s="29"/>
      <c r="ID3714" s="29"/>
      <c r="IE3714" s="29"/>
      <c r="IF3714" s="29"/>
      <c r="IG3714" s="29"/>
      <c r="IH3714" s="29"/>
      <c r="II3714" s="29"/>
      <c r="IJ3714" s="29"/>
      <c r="IK3714" s="29"/>
      <c r="IL3714" s="29"/>
      <c r="IM3714" s="29"/>
      <c r="IN3714" s="29"/>
      <c r="IO3714" s="29"/>
      <c r="IP3714" s="29"/>
      <c r="IQ3714" s="29"/>
      <c r="IR3714" s="29"/>
      <c r="IS3714" s="29"/>
      <c r="IT3714" s="29"/>
      <c r="IU3714" s="29"/>
      <c r="IV3714" s="29"/>
      <c r="IW3714" s="29"/>
      <c r="IX3714" s="29"/>
      <c r="IY3714" s="29"/>
      <c r="IZ3714" s="29"/>
      <c r="JA3714" s="29"/>
      <c r="JB3714" s="29"/>
    </row>
    <row r="3715" spans="1:262" s="28" customFormat="1">
      <c r="A3715" s="29"/>
      <c r="B3715" s="29"/>
      <c r="C3715" s="29"/>
      <c r="D3715" s="29"/>
      <c r="E3715" s="29"/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GK3715" s="29"/>
      <c r="GL3715" s="29"/>
      <c r="GM3715" s="29"/>
      <c r="GN3715" s="29"/>
      <c r="GO3715" s="29"/>
      <c r="GP3715" s="29"/>
      <c r="GQ3715" s="29"/>
      <c r="GR3715" s="29"/>
      <c r="GS3715" s="29"/>
      <c r="GT3715" s="29"/>
      <c r="GU3715" s="29"/>
      <c r="GV3715" s="29"/>
      <c r="GW3715" s="29"/>
      <c r="GX3715" s="29"/>
      <c r="GY3715" s="29"/>
      <c r="GZ3715" s="29"/>
      <c r="HA3715" s="29"/>
      <c r="HB3715" s="29"/>
      <c r="HC3715" s="29"/>
      <c r="HD3715" s="29"/>
      <c r="HE3715" s="29"/>
      <c r="HF3715" s="29"/>
      <c r="HG3715" s="29"/>
      <c r="HH3715" s="29"/>
      <c r="HI3715" s="29"/>
      <c r="HJ3715" s="29"/>
      <c r="HK3715" s="29"/>
      <c r="HL3715" s="29"/>
      <c r="HM3715" s="29"/>
      <c r="HN3715" s="29"/>
      <c r="HO3715" s="29"/>
      <c r="HP3715" s="29"/>
      <c r="HQ3715" s="29"/>
      <c r="HR3715" s="29"/>
      <c r="HS3715" s="29"/>
      <c r="HT3715" s="29"/>
      <c r="HU3715" s="29"/>
      <c r="HV3715" s="29"/>
      <c r="HW3715" s="29"/>
      <c r="HX3715" s="29"/>
      <c r="HY3715" s="29"/>
      <c r="HZ3715" s="29"/>
      <c r="IA3715" s="29"/>
      <c r="IB3715" s="29"/>
      <c r="IC3715" s="29"/>
      <c r="ID3715" s="29"/>
      <c r="IE3715" s="29"/>
      <c r="IF3715" s="29"/>
      <c r="IG3715" s="29"/>
      <c r="IH3715" s="29"/>
      <c r="II3715" s="29"/>
      <c r="IJ3715" s="29"/>
      <c r="IK3715" s="29"/>
      <c r="IL3715" s="29"/>
      <c r="IM3715" s="29"/>
      <c r="IN3715" s="29"/>
      <c r="IO3715" s="29"/>
      <c r="IP3715" s="29"/>
      <c r="IQ3715" s="29"/>
      <c r="IR3715" s="29"/>
      <c r="IS3715" s="29"/>
      <c r="IT3715" s="29"/>
      <c r="IU3715" s="29"/>
      <c r="IV3715" s="29"/>
      <c r="IW3715" s="29"/>
      <c r="IX3715" s="29"/>
      <c r="IY3715" s="29"/>
      <c r="IZ3715" s="29"/>
      <c r="JA3715" s="29"/>
      <c r="JB3715" s="29"/>
    </row>
    <row r="3716" spans="1:262" s="28" customFormat="1">
      <c r="A3716" s="29"/>
      <c r="B3716" s="29"/>
      <c r="C3716" s="29"/>
      <c r="D3716" s="29"/>
      <c r="E3716" s="29"/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  <c r="P3716" s="29"/>
      <c r="Q3716" s="29"/>
      <c r="R3716" s="29"/>
      <c r="S3716" s="29"/>
      <c r="T3716" s="29"/>
      <c r="U3716" s="29"/>
      <c r="V3716" s="29"/>
      <c r="GK3716" s="29"/>
      <c r="GL3716" s="29"/>
      <c r="GM3716" s="29"/>
      <c r="GN3716" s="29"/>
      <c r="GO3716" s="29"/>
      <c r="GP3716" s="29"/>
      <c r="GQ3716" s="29"/>
      <c r="GR3716" s="29"/>
      <c r="GS3716" s="29"/>
      <c r="GT3716" s="29"/>
      <c r="GU3716" s="29"/>
      <c r="GV3716" s="29"/>
      <c r="GW3716" s="29"/>
      <c r="GX3716" s="29"/>
      <c r="GY3716" s="29"/>
      <c r="GZ3716" s="29"/>
      <c r="HA3716" s="29"/>
      <c r="HB3716" s="29"/>
      <c r="HC3716" s="29"/>
      <c r="HD3716" s="29"/>
      <c r="HE3716" s="29"/>
      <c r="HF3716" s="29"/>
      <c r="HG3716" s="29"/>
      <c r="HH3716" s="29"/>
      <c r="HI3716" s="29"/>
      <c r="HJ3716" s="29"/>
      <c r="HK3716" s="29"/>
      <c r="HL3716" s="29"/>
      <c r="HM3716" s="29"/>
      <c r="HN3716" s="29"/>
      <c r="HO3716" s="29"/>
      <c r="HP3716" s="29"/>
      <c r="HQ3716" s="29"/>
      <c r="HR3716" s="29"/>
      <c r="HS3716" s="29"/>
      <c r="HT3716" s="29"/>
      <c r="HU3716" s="29"/>
      <c r="HV3716" s="29"/>
      <c r="HW3716" s="29"/>
      <c r="HX3716" s="29"/>
      <c r="HY3716" s="29"/>
      <c r="HZ3716" s="29"/>
      <c r="IA3716" s="29"/>
      <c r="IB3716" s="29"/>
      <c r="IC3716" s="29"/>
      <c r="ID3716" s="29"/>
      <c r="IE3716" s="29"/>
      <c r="IF3716" s="29"/>
      <c r="IG3716" s="29"/>
      <c r="IH3716" s="29"/>
      <c r="II3716" s="29"/>
      <c r="IJ3716" s="29"/>
      <c r="IK3716" s="29"/>
      <c r="IL3716" s="29"/>
      <c r="IM3716" s="29"/>
      <c r="IN3716" s="29"/>
      <c r="IO3716" s="29"/>
      <c r="IP3716" s="29"/>
      <c r="IQ3716" s="29"/>
      <c r="IR3716" s="29"/>
      <c r="IS3716" s="29"/>
      <c r="IT3716" s="29"/>
      <c r="IU3716" s="29"/>
      <c r="IV3716" s="29"/>
      <c r="IW3716" s="29"/>
      <c r="IX3716" s="29"/>
      <c r="IY3716" s="29"/>
      <c r="IZ3716" s="29"/>
      <c r="JA3716" s="29"/>
      <c r="JB3716" s="29"/>
    </row>
    <row r="3717" spans="1:262" s="28" customFormat="1">
      <c r="A3717" s="29"/>
      <c r="B3717" s="29"/>
      <c r="C3717" s="29"/>
      <c r="D3717" s="29"/>
      <c r="E3717" s="29"/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  <c r="P3717" s="29"/>
      <c r="Q3717" s="29"/>
      <c r="R3717" s="29"/>
      <c r="S3717" s="29"/>
      <c r="T3717" s="29"/>
      <c r="U3717" s="29"/>
      <c r="V3717" s="29"/>
      <c r="GK3717" s="29"/>
      <c r="GL3717" s="29"/>
      <c r="GM3717" s="29"/>
      <c r="GN3717" s="29"/>
      <c r="GO3717" s="29"/>
      <c r="GP3717" s="29"/>
      <c r="GQ3717" s="29"/>
      <c r="GR3717" s="29"/>
      <c r="GS3717" s="29"/>
      <c r="GT3717" s="29"/>
      <c r="GU3717" s="29"/>
      <c r="GV3717" s="29"/>
      <c r="GW3717" s="29"/>
      <c r="GX3717" s="29"/>
      <c r="GY3717" s="29"/>
      <c r="GZ3717" s="29"/>
      <c r="HA3717" s="29"/>
      <c r="HB3717" s="29"/>
      <c r="HC3717" s="29"/>
      <c r="HD3717" s="29"/>
      <c r="HE3717" s="29"/>
      <c r="HF3717" s="29"/>
      <c r="HG3717" s="29"/>
      <c r="HH3717" s="29"/>
      <c r="HI3717" s="29"/>
      <c r="HJ3717" s="29"/>
      <c r="HK3717" s="29"/>
      <c r="HL3717" s="29"/>
      <c r="HM3717" s="29"/>
      <c r="HN3717" s="29"/>
      <c r="HO3717" s="29"/>
      <c r="HP3717" s="29"/>
      <c r="HQ3717" s="29"/>
      <c r="HR3717" s="29"/>
      <c r="HS3717" s="29"/>
      <c r="HT3717" s="29"/>
      <c r="HU3717" s="29"/>
      <c r="HV3717" s="29"/>
      <c r="HW3717" s="29"/>
      <c r="HX3717" s="29"/>
      <c r="HY3717" s="29"/>
      <c r="HZ3717" s="29"/>
      <c r="IA3717" s="29"/>
      <c r="IB3717" s="29"/>
      <c r="IC3717" s="29"/>
      <c r="ID3717" s="29"/>
      <c r="IE3717" s="29"/>
      <c r="IF3717" s="29"/>
      <c r="IG3717" s="29"/>
      <c r="IH3717" s="29"/>
      <c r="II3717" s="29"/>
      <c r="IJ3717" s="29"/>
      <c r="IK3717" s="29"/>
      <c r="IL3717" s="29"/>
      <c r="IM3717" s="29"/>
      <c r="IN3717" s="29"/>
      <c r="IO3717" s="29"/>
      <c r="IP3717" s="29"/>
      <c r="IQ3717" s="29"/>
      <c r="IR3717" s="29"/>
      <c r="IS3717" s="29"/>
      <c r="IT3717" s="29"/>
      <c r="IU3717" s="29"/>
      <c r="IV3717" s="29"/>
      <c r="IW3717" s="29"/>
      <c r="IX3717" s="29"/>
      <c r="IY3717" s="29"/>
      <c r="IZ3717" s="29"/>
      <c r="JA3717" s="29"/>
      <c r="JB3717" s="29"/>
    </row>
    <row r="3718" spans="1:262" s="28" customFormat="1">
      <c r="A3718" s="29"/>
      <c r="B3718" s="29"/>
      <c r="C3718" s="29"/>
      <c r="D3718" s="29"/>
      <c r="E3718" s="29"/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GK3718" s="29"/>
      <c r="GL3718" s="29"/>
      <c r="GM3718" s="29"/>
      <c r="GN3718" s="29"/>
      <c r="GO3718" s="29"/>
      <c r="GP3718" s="29"/>
      <c r="GQ3718" s="29"/>
      <c r="GR3718" s="29"/>
      <c r="GS3718" s="29"/>
      <c r="GT3718" s="29"/>
      <c r="GU3718" s="29"/>
      <c r="GV3718" s="29"/>
      <c r="GW3718" s="29"/>
      <c r="GX3718" s="29"/>
      <c r="GY3718" s="29"/>
      <c r="GZ3718" s="29"/>
      <c r="HA3718" s="29"/>
      <c r="HB3718" s="29"/>
      <c r="HC3718" s="29"/>
      <c r="HD3718" s="29"/>
      <c r="HE3718" s="29"/>
      <c r="HF3718" s="29"/>
      <c r="HG3718" s="29"/>
      <c r="HH3718" s="29"/>
      <c r="HI3718" s="29"/>
      <c r="HJ3718" s="29"/>
      <c r="HK3718" s="29"/>
      <c r="HL3718" s="29"/>
      <c r="HM3718" s="29"/>
      <c r="HN3718" s="29"/>
      <c r="HO3718" s="29"/>
      <c r="HP3718" s="29"/>
      <c r="HQ3718" s="29"/>
      <c r="HR3718" s="29"/>
      <c r="HS3718" s="29"/>
      <c r="HT3718" s="29"/>
      <c r="HU3718" s="29"/>
      <c r="HV3718" s="29"/>
      <c r="HW3718" s="29"/>
      <c r="HX3718" s="29"/>
      <c r="HY3718" s="29"/>
      <c r="HZ3718" s="29"/>
      <c r="IA3718" s="29"/>
      <c r="IB3718" s="29"/>
      <c r="IC3718" s="29"/>
      <c r="ID3718" s="29"/>
      <c r="IE3718" s="29"/>
      <c r="IF3718" s="29"/>
      <c r="IG3718" s="29"/>
      <c r="IH3718" s="29"/>
      <c r="II3718" s="29"/>
      <c r="IJ3718" s="29"/>
      <c r="IK3718" s="29"/>
      <c r="IL3718" s="29"/>
      <c r="IM3718" s="29"/>
      <c r="IN3718" s="29"/>
      <c r="IO3718" s="29"/>
      <c r="IP3718" s="29"/>
      <c r="IQ3718" s="29"/>
      <c r="IR3718" s="29"/>
      <c r="IS3718" s="29"/>
      <c r="IT3718" s="29"/>
      <c r="IU3718" s="29"/>
      <c r="IV3718" s="29"/>
      <c r="IW3718" s="29"/>
      <c r="IX3718" s="29"/>
      <c r="IY3718" s="29"/>
      <c r="IZ3718" s="29"/>
      <c r="JA3718" s="29"/>
      <c r="JB3718" s="29"/>
    </row>
    <row r="3719" spans="1:262" s="28" customFormat="1">
      <c r="A3719" s="29"/>
      <c r="B3719" s="29"/>
      <c r="C3719" s="29"/>
      <c r="D3719" s="29"/>
      <c r="E3719" s="29"/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GK3719" s="29"/>
      <c r="GL3719" s="29"/>
      <c r="GM3719" s="29"/>
      <c r="GN3719" s="29"/>
      <c r="GO3719" s="29"/>
      <c r="GP3719" s="29"/>
      <c r="GQ3719" s="29"/>
      <c r="GR3719" s="29"/>
      <c r="GS3719" s="29"/>
      <c r="GT3719" s="29"/>
      <c r="GU3719" s="29"/>
      <c r="GV3719" s="29"/>
      <c r="GW3719" s="29"/>
      <c r="GX3719" s="29"/>
      <c r="GY3719" s="29"/>
      <c r="GZ3719" s="29"/>
      <c r="HA3719" s="29"/>
      <c r="HB3719" s="29"/>
      <c r="HC3719" s="29"/>
      <c r="HD3719" s="29"/>
      <c r="HE3719" s="29"/>
      <c r="HF3719" s="29"/>
      <c r="HG3719" s="29"/>
      <c r="HH3719" s="29"/>
      <c r="HI3719" s="29"/>
      <c r="HJ3719" s="29"/>
      <c r="HK3719" s="29"/>
      <c r="HL3719" s="29"/>
      <c r="HM3719" s="29"/>
      <c r="HN3719" s="29"/>
      <c r="HO3719" s="29"/>
      <c r="HP3719" s="29"/>
      <c r="HQ3719" s="29"/>
      <c r="HR3719" s="29"/>
      <c r="HS3719" s="29"/>
      <c r="HT3719" s="29"/>
      <c r="HU3719" s="29"/>
      <c r="HV3719" s="29"/>
      <c r="HW3719" s="29"/>
      <c r="HX3719" s="29"/>
      <c r="HY3719" s="29"/>
      <c r="HZ3719" s="29"/>
      <c r="IA3719" s="29"/>
      <c r="IB3719" s="29"/>
      <c r="IC3719" s="29"/>
      <c r="ID3719" s="29"/>
      <c r="IE3719" s="29"/>
      <c r="IF3719" s="29"/>
      <c r="IG3719" s="29"/>
      <c r="IH3719" s="29"/>
      <c r="II3719" s="29"/>
      <c r="IJ3719" s="29"/>
      <c r="IK3719" s="29"/>
      <c r="IL3719" s="29"/>
      <c r="IM3719" s="29"/>
      <c r="IN3719" s="29"/>
      <c r="IO3719" s="29"/>
      <c r="IP3719" s="29"/>
      <c r="IQ3719" s="29"/>
      <c r="IR3719" s="29"/>
      <c r="IS3719" s="29"/>
      <c r="IT3719" s="29"/>
      <c r="IU3719" s="29"/>
      <c r="IV3719" s="29"/>
      <c r="IW3719" s="29"/>
      <c r="IX3719" s="29"/>
      <c r="IY3719" s="29"/>
      <c r="IZ3719" s="29"/>
      <c r="JA3719" s="29"/>
      <c r="JB3719" s="29"/>
    </row>
    <row r="3720" spans="1:262" s="28" customFormat="1">
      <c r="A3720" s="29"/>
      <c r="B3720" s="29"/>
      <c r="C3720" s="29"/>
      <c r="D3720" s="29"/>
      <c r="E3720" s="29"/>
      <c r="F3720" s="29"/>
      <c r="G3720" s="29"/>
      <c r="H3720" s="29"/>
      <c r="I3720" s="29"/>
      <c r="J3720" s="29"/>
      <c r="K3720" s="29"/>
      <c r="L3720" s="29"/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GK3720" s="29"/>
      <c r="GL3720" s="29"/>
      <c r="GM3720" s="29"/>
      <c r="GN3720" s="29"/>
      <c r="GO3720" s="29"/>
      <c r="GP3720" s="29"/>
      <c r="GQ3720" s="29"/>
      <c r="GR3720" s="29"/>
      <c r="GS3720" s="29"/>
      <c r="GT3720" s="29"/>
      <c r="GU3720" s="29"/>
      <c r="GV3720" s="29"/>
      <c r="GW3720" s="29"/>
      <c r="GX3720" s="29"/>
      <c r="GY3720" s="29"/>
      <c r="GZ3720" s="29"/>
      <c r="HA3720" s="29"/>
      <c r="HB3720" s="29"/>
      <c r="HC3720" s="29"/>
      <c r="HD3720" s="29"/>
      <c r="HE3720" s="29"/>
      <c r="HF3720" s="29"/>
      <c r="HG3720" s="29"/>
      <c r="HH3720" s="29"/>
      <c r="HI3720" s="29"/>
      <c r="HJ3720" s="29"/>
      <c r="HK3720" s="29"/>
      <c r="HL3720" s="29"/>
      <c r="HM3720" s="29"/>
      <c r="HN3720" s="29"/>
      <c r="HO3720" s="29"/>
      <c r="HP3720" s="29"/>
      <c r="HQ3720" s="29"/>
      <c r="HR3720" s="29"/>
      <c r="HS3720" s="29"/>
      <c r="HT3720" s="29"/>
      <c r="HU3720" s="29"/>
      <c r="HV3720" s="29"/>
      <c r="HW3720" s="29"/>
      <c r="HX3720" s="29"/>
      <c r="HY3720" s="29"/>
      <c r="HZ3720" s="29"/>
      <c r="IA3720" s="29"/>
      <c r="IB3720" s="29"/>
      <c r="IC3720" s="29"/>
      <c r="ID3720" s="29"/>
      <c r="IE3720" s="29"/>
      <c r="IF3720" s="29"/>
      <c r="IG3720" s="29"/>
      <c r="IH3720" s="29"/>
      <c r="II3720" s="29"/>
      <c r="IJ3720" s="29"/>
      <c r="IK3720" s="29"/>
      <c r="IL3720" s="29"/>
      <c r="IM3720" s="29"/>
      <c r="IN3720" s="29"/>
      <c r="IO3720" s="29"/>
      <c r="IP3720" s="29"/>
      <c r="IQ3720" s="29"/>
      <c r="IR3720" s="29"/>
      <c r="IS3720" s="29"/>
      <c r="IT3720" s="29"/>
      <c r="IU3720" s="29"/>
      <c r="IV3720" s="29"/>
      <c r="IW3720" s="29"/>
      <c r="IX3720" s="29"/>
      <c r="IY3720" s="29"/>
      <c r="IZ3720" s="29"/>
      <c r="JA3720" s="29"/>
      <c r="JB3720" s="29"/>
    </row>
    <row r="3721" spans="1:262" s="28" customFormat="1">
      <c r="A3721" s="29"/>
      <c r="B3721" s="29"/>
      <c r="C3721" s="29"/>
      <c r="D3721" s="29"/>
      <c r="E3721" s="29"/>
      <c r="F3721" s="29"/>
      <c r="G3721" s="29"/>
      <c r="H3721" s="29"/>
      <c r="I3721" s="29"/>
      <c r="J3721" s="29"/>
      <c r="K3721" s="29"/>
      <c r="L3721" s="29"/>
      <c r="M3721" s="29"/>
      <c r="N3721" s="29"/>
      <c r="O3721" s="29"/>
      <c r="P3721" s="29"/>
      <c r="Q3721" s="29"/>
      <c r="R3721" s="29"/>
      <c r="S3721" s="29"/>
      <c r="T3721" s="29"/>
      <c r="U3721" s="29"/>
      <c r="V3721" s="29"/>
      <c r="GK3721" s="29"/>
      <c r="GL3721" s="29"/>
      <c r="GM3721" s="29"/>
      <c r="GN3721" s="29"/>
      <c r="GO3721" s="29"/>
      <c r="GP3721" s="29"/>
      <c r="GQ3721" s="29"/>
      <c r="GR3721" s="29"/>
      <c r="GS3721" s="29"/>
      <c r="GT3721" s="29"/>
      <c r="GU3721" s="29"/>
      <c r="GV3721" s="29"/>
      <c r="GW3721" s="29"/>
      <c r="GX3721" s="29"/>
      <c r="GY3721" s="29"/>
      <c r="GZ3721" s="29"/>
      <c r="HA3721" s="29"/>
      <c r="HB3721" s="29"/>
      <c r="HC3721" s="29"/>
      <c r="HD3721" s="29"/>
      <c r="HE3721" s="29"/>
      <c r="HF3721" s="29"/>
      <c r="HG3721" s="29"/>
      <c r="HH3721" s="29"/>
      <c r="HI3721" s="29"/>
      <c r="HJ3721" s="29"/>
      <c r="HK3721" s="29"/>
      <c r="HL3721" s="29"/>
      <c r="HM3721" s="29"/>
      <c r="HN3721" s="29"/>
      <c r="HO3721" s="29"/>
      <c r="HP3721" s="29"/>
      <c r="HQ3721" s="29"/>
      <c r="HR3721" s="29"/>
      <c r="HS3721" s="29"/>
      <c r="HT3721" s="29"/>
      <c r="HU3721" s="29"/>
      <c r="HV3721" s="29"/>
      <c r="HW3721" s="29"/>
      <c r="HX3721" s="29"/>
      <c r="HY3721" s="29"/>
      <c r="HZ3721" s="29"/>
      <c r="IA3721" s="29"/>
      <c r="IB3721" s="29"/>
      <c r="IC3721" s="29"/>
      <c r="ID3721" s="29"/>
      <c r="IE3721" s="29"/>
      <c r="IF3721" s="29"/>
      <c r="IG3721" s="29"/>
      <c r="IH3721" s="29"/>
      <c r="II3721" s="29"/>
      <c r="IJ3721" s="29"/>
      <c r="IK3721" s="29"/>
      <c r="IL3721" s="29"/>
      <c r="IM3721" s="29"/>
      <c r="IN3721" s="29"/>
      <c r="IO3721" s="29"/>
      <c r="IP3721" s="29"/>
      <c r="IQ3721" s="29"/>
      <c r="IR3721" s="29"/>
      <c r="IS3721" s="29"/>
      <c r="IT3721" s="29"/>
      <c r="IU3721" s="29"/>
      <c r="IV3721" s="29"/>
      <c r="IW3721" s="29"/>
      <c r="IX3721" s="29"/>
      <c r="IY3721" s="29"/>
      <c r="IZ3721" s="29"/>
      <c r="JA3721" s="29"/>
      <c r="JB3721" s="29"/>
    </row>
    <row r="3722" spans="1:262" s="28" customFormat="1">
      <c r="A3722" s="29"/>
      <c r="B3722" s="29"/>
      <c r="C3722" s="29"/>
      <c r="D3722" s="29"/>
      <c r="E3722" s="29"/>
      <c r="F3722" s="29"/>
      <c r="G3722" s="29"/>
      <c r="H3722" s="29"/>
      <c r="I3722" s="29"/>
      <c r="J3722" s="29"/>
      <c r="K3722" s="29"/>
      <c r="L3722" s="29"/>
      <c r="M3722" s="29"/>
      <c r="N3722" s="29"/>
      <c r="O3722" s="29"/>
      <c r="P3722" s="29"/>
      <c r="Q3722" s="29"/>
      <c r="R3722" s="29"/>
      <c r="S3722" s="29"/>
      <c r="T3722" s="29"/>
      <c r="U3722" s="29"/>
      <c r="V3722" s="29"/>
      <c r="GK3722" s="29"/>
      <c r="GL3722" s="29"/>
      <c r="GM3722" s="29"/>
      <c r="GN3722" s="29"/>
      <c r="GO3722" s="29"/>
      <c r="GP3722" s="29"/>
      <c r="GQ3722" s="29"/>
      <c r="GR3722" s="29"/>
      <c r="GS3722" s="29"/>
      <c r="GT3722" s="29"/>
      <c r="GU3722" s="29"/>
      <c r="GV3722" s="29"/>
      <c r="GW3722" s="29"/>
      <c r="GX3722" s="29"/>
      <c r="GY3722" s="29"/>
      <c r="GZ3722" s="29"/>
      <c r="HA3722" s="29"/>
      <c r="HB3722" s="29"/>
      <c r="HC3722" s="29"/>
      <c r="HD3722" s="29"/>
      <c r="HE3722" s="29"/>
      <c r="HF3722" s="29"/>
      <c r="HG3722" s="29"/>
      <c r="HH3722" s="29"/>
      <c r="HI3722" s="29"/>
      <c r="HJ3722" s="29"/>
      <c r="HK3722" s="29"/>
      <c r="HL3722" s="29"/>
      <c r="HM3722" s="29"/>
      <c r="HN3722" s="29"/>
      <c r="HO3722" s="29"/>
      <c r="HP3722" s="29"/>
      <c r="HQ3722" s="29"/>
      <c r="HR3722" s="29"/>
      <c r="HS3722" s="29"/>
      <c r="HT3722" s="29"/>
      <c r="HU3722" s="29"/>
      <c r="HV3722" s="29"/>
      <c r="HW3722" s="29"/>
      <c r="HX3722" s="29"/>
      <c r="HY3722" s="29"/>
      <c r="HZ3722" s="29"/>
      <c r="IA3722" s="29"/>
      <c r="IB3722" s="29"/>
      <c r="IC3722" s="29"/>
      <c r="ID3722" s="29"/>
      <c r="IE3722" s="29"/>
      <c r="IF3722" s="29"/>
      <c r="IG3722" s="29"/>
      <c r="IH3722" s="29"/>
      <c r="II3722" s="29"/>
      <c r="IJ3722" s="29"/>
      <c r="IK3722" s="29"/>
      <c r="IL3722" s="29"/>
      <c r="IM3722" s="29"/>
      <c r="IN3722" s="29"/>
      <c r="IO3722" s="29"/>
      <c r="IP3722" s="29"/>
      <c r="IQ3722" s="29"/>
      <c r="IR3722" s="29"/>
      <c r="IS3722" s="29"/>
      <c r="IT3722" s="29"/>
      <c r="IU3722" s="29"/>
      <c r="IV3722" s="29"/>
      <c r="IW3722" s="29"/>
      <c r="IX3722" s="29"/>
      <c r="IY3722" s="29"/>
      <c r="IZ3722" s="29"/>
      <c r="JA3722" s="29"/>
      <c r="JB3722" s="29"/>
    </row>
    <row r="3723" spans="1:262" s="28" customFormat="1">
      <c r="A3723" s="29"/>
      <c r="B3723" s="29"/>
      <c r="C3723" s="29"/>
      <c r="D3723" s="29"/>
      <c r="E3723" s="29"/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GK3723" s="29"/>
      <c r="GL3723" s="29"/>
      <c r="GM3723" s="29"/>
      <c r="GN3723" s="29"/>
      <c r="GO3723" s="29"/>
      <c r="GP3723" s="29"/>
      <c r="GQ3723" s="29"/>
      <c r="GR3723" s="29"/>
      <c r="GS3723" s="29"/>
      <c r="GT3723" s="29"/>
      <c r="GU3723" s="29"/>
      <c r="GV3723" s="29"/>
      <c r="GW3723" s="29"/>
      <c r="GX3723" s="29"/>
      <c r="GY3723" s="29"/>
      <c r="GZ3723" s="29"/>
      <c r="HA3723" s="29"/>
      <c r="HB3723" s="29"/>
      <c r="HC3723" s="29"/>
      <c r="HD3723" s="29"/>
      <c r="HE3723" s="29"/>
      <c r="HF3723" s="29"/>
      <c r="HG3723" s="29"/>
      <c r="HH3723" s="29"/>
      <c r="HI3723" s="29"/>
      <c r="HJ3723" s="29"/>
      <c r="HK3723" s="29"/>
      <c r="HL3723" s="29"/>
      <c r="HM3723" s="29"/>
      <c r="HN3723" s="29"/>
      <c r="HO3723" s="29"/>
      <c r="HP3723" s="29"/>
      <c r="HQ3723" s="29"/>
      <c r="HR3723" s="29"/>
      <c r="HS3723" s="29"/>
      <c r="HT3723" s="29"/>
      <c r="HU3723" s="29"/>
      <c r="HV3723" s="29"/>
      <c r="HW3723" s="29"/>
      <c r="HX3723" s="29"/>
      <c r="HY3723" s="29"/>
      <c r="HZ3723" s="29"/>
      <c r="IA3723" s="29"/>
      <c r="IB3723" s="29"/>
      <c r="IC3723" s="29"/>
      <c r="ID3723" s="29"/>
      <c r="IE3723" s="29"/>
      <c r="IF3723" s="29"/>
      <c r="IG3723" s="29"/>
      <c r="IH3723" s="29"/>
      <c r="II3723" s="29"/>
      <c r="IJ3723" s="29"/>
      <c r="IK3723" s="29"/>
      <c r="IL3723" s="29"/>
      <c r="IM3723" s="29"/>
      <c r="IN3723" s="29"/>
      <c r="IO3723" s="29"/>
      <c r="IP3723" s="29"/>
      <c r="IQ3723" s="29"/>
      <c r="IR3723" s="29"/>
      <c r="IS3723" s="29"/>
      <c r="IT3723" s="29"/>
      <c r="IU3723" s="29"/>
      <c r="IV3723" s="29"/>
      <c r="IW3723" s="29"/>
      <c r="IX3723" s="29"/>
      <c r="IY3723" s="29"/>
      <c r="IZ3723" s="29"/>
      <c r="JA3723" s="29"/>
      <c r="JB3723" s="29"/>
    </row>
    <row r="3724" spans="1:262" s="28" customFormat="1">
      <c r="A3724" s="29"/>
      <c r="B3724" s="29"/>
      <c r="C3724" s="29"/>
      <c r="D3724" s="29"/>
      <c r="E3724" s="29"/>
      <c r="F3724" s="29"/>
      <c r="G3724" s="29"/>
      <c r="H3724" s="29"/>
      <c r="I3724" s="29"/>
      <c r="J3724" s="29"/>
      <c r="K3724" s="29"/>
      <c r="L3724" s="29"/>
      <c r="M3724" s="29"/>
      <c r="N3724" s="29"/>
      <c r="O3724" s="29"/>
      <c r="P3724" s="29"/>
      <c r="Q3724" s="29"/>
      <c r="R3724" s="29"/>
      <c r="S3724" s="29"/>
      <c r="T3724" s="29"/>
      <c r="U3724" s="29"/>
      <c r="V3724" s="29"/>
      <c r="GK3724" s="29"/>
      <c r="GL3724" s="29"/>
      <c r="GM3724" s="29"/>
      <c r="GN3724" s="29"/>
      <c r="GO3724" s="29"/>
      <c r="GP3724" s="29"/>
      <c r="GQ3724" s="29"/>
      <c r="GR3724" s="29"/>
      <c r="GS3724" s="29"/>
      <c r="GT3724" s="29"/>
      <c r="GU3724" s="29"/>
      <c r="GV3724" s="29"/>
      <c r="GW3724" s="29"/>
      <c r="GX3724" s="29"/>
      <c r="GY3724" s="29"/>
      <c r="GZ3724" s="29"/>
      <c r="HA3724" s="29"/>
      <c r="HB3724" s="29"/>
      <c r="HC3724" s="29"/>
      <c r="HD3724" s="29"/>
      <c r="HE3724" s="29"/>
      <c r="HF3724" s="29"/>
      <c r="HG3724" s="29"/>
      <c r="HH3724" s="29"/>
      <c r="HI3724" s="29"/>
      <c r="HJ3724" s="29"/>
      <c r="HK3724" s="29"/>
      <c r="HL3724" s="29"/>
      <c r="HM3724" s="29"/>
      <c r="HN3724" s="29"/>
      <c r="HO3724" s="29"/>
      <c r="HP3724" s="29"/>
      <c r="HQ3724" s="29"/>
      <c r="HR3724" s="29"/>
      <c r="HS3724" s="29"/>
      <c r="HT3724" s="29"/>
      <c r="HU3724" s="29"/>
      <c r="HV3724" s="29"/>
      <c r="HW3724" s="29"/>
      <c r="HX3724" s="29"/>
      <c r="HY3724" s="29"/>
      <c r="HZ3724" s="29"/>
      <c r="IA3724" s="29"/>
      <c r="IB3724" s="29"/>
      <c r="IC3724" s="29"/>
      <c r="ID3724" s="29"/>
      <c r="IE3724" s="29"/>
      <c r="IF3724" s="29"/>
      <c r="IG3724" s="29"/>
      <c r="IH3724" s="29"/>
      <c r="II3724" s="29"/>
      <c r="IJ3724" s="29"/>
      <c r="IK3724" s="29"/>
      <c r="IL3724" s="29"/>
      <c r="IM3724" s="29"/>
      <c r="IN3724" s="29"/>
      <c r="IO3724" s="29"/>
      <c r="IP3724" s="29"/>
      <c r="IQ3724" s="29"/>
      <c r="IR3724" s="29"/>
      <c r="IS3724" s="29"/>
      <c r="IT3724" s="29"/>
      <c r="IU3724" s="29"/>
      <c r="IV3724" s="29"/>
      <c r="IW3724" s="29"/>
      <c r="IX3724" s="29"/>
      <c r="IY3724" s="29"/>
      <c r="IZ3724" s="29"/>
      <c r="JA3724" s="29"/>
      <c r="JB3724" s="29"/>
    </row>
    <row r="3725" spans="1:262" s="28" customFormat="1">
      <c r="A3725" s="29"/>
      <c r="B3725" s="29"/>
      <c r="C3725" s="29"/>
      <c r="D3725" s="29"/>
      <c r="E3725" s="29"/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29"/>
      <c r="R3725" s="29"/>
      <c r="S3725" s="29"/>
      <c r="T3725" s="29"/>
      <c r="U3725" s="29"/>
      <c r="V3725" s="29"/>
      <c r="GK3725" s="29"/>
      <c r="GL3725" s="29"/>
      <c r="GM3725" s="29"/>
      <c r="GN3725" s="29"/>
      <c r="GO3725" s="29"/>
      <c r="GP3725" s="29"/>
      <c r="GQ3725" s="29"/>
      <c r="GR3725" s="29"/>
      <c r="GS3725" s="29"/>
      <c r="GT3725" s="29"/>
      <c r="GU3725" s="29"/>
      <c r="GV3725" s="29"/>
      <c r="GW3725" s="29"/>
      <c r="GX3725" s="29"/>
      <c r="GY3725" s="29"/>
      <c r="GZ3725" s="29"/>
      <c r="HA3725" s="29"/>
      <c r="HB3725" s="29"/>
      <c r="HC3725" s="29"/>
      <c r="HD3725" s="29"/>
      <c r="HE3725" s="29"/>
      <c r="HF3725" s="29"/>
      <c r="HG3725" s="29"/>
      <c r="HH3725" s="29"/>
      <c r="HI3725" s="29"/>
      <c r="HJ3725" s="29"/>
      <c r="HK3725" s="29"/>
      <c r="HL3725" s="29"/>
      <c r="HM3725" s="29"/>
      <c r="HN3725" s="29"/>
      <c r="HO3725" s="29"/>
      <c r="HP3725" s="29"/>
      <c r="HQ3725" s="29"/>
      <c r="HR3725" s="29"/>
      <c r="HS3725" s="29"/>
      <c r="HT3725" s="29"/>
      <c r="HU3725" s="29"/>
      <c r="HV3725" s="29"/>
      <c r="HW3725" s="29"/>
      <c r="HX3725" s="29"/>
      <c r="HY3725" s="29"/>
      <c r="HZ3725" s="29"/>
      <c r="IA3725" s="29"/>
      <c r="IB3725" s="29"/>
      <c r="IC3725" s="29"/>
      <c r="ID3725" s="29"/>
      <c r="IE3725" s="29"/>
      <c r="IF3725" s="29"/>
      <c r="IG3725" s="29"/>
      <c r="IH3725" s="29"/>
      <c r="II3725" s="29"/>
      <c r="IJ3725" s="29"/>
      <c r="IK3725" s="29"/>
      <c r="IL3725" s="29"/>
      <c r="IM3725" s="29"/>
      <c r="IN3725" s="29"/>
      <c r="IO3725" s="29"/>
      <c r="IP3725" s="29"/>
      <c r="IQ3725" s="29"/>
      <c r="IR3725" s="29"/>
      <c r="IS3725" s="29"/>
      <c r="IT3725" s="29"/>
      <c r="IU3725" s="29"/>
      <c r="IV3725" s="29"/>
      <c r="IW3725" s="29"/>
      <c r="IX3725" s="29"/>
      <c r="IY3725" s="29"/>
      <c r="IZ3725" s="29"/>
      <c r="JA3725" s="29"/>
      <c r="JB3725" s="29"/>
    </row>
    <row r="3726" spans="1:262" s="28" customFormat="1">
      <c r="A3726" s="29"/>
      <c r="B3726" s="29"/>
      <c r="C3726" s="29"/>
      <c r="D3726" s="29"/>
      <c r="E3726" s="29"/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  <c r="P3726" s="29"/>
      <c r="Q3726" s="29"/>
      <c r="R3726" s="29"/>
      <c r="S3726" s="29"/>
      <c r="T3726" s="29"/>
      <c r="U3726" s="29"/>
      <c r="V3726" s="29"/>
      <c r="GK3726" s="29"/>
      <c r="GL3726" s="29"/>
      <c r="GM3726" s="29"/>
      <c r="GN3726" s="29"/>
      <c r="GO3726" s="29"/>
      <c r="GP3726" s="29"/>
      <c r="GQ3726" s="29"/>
      <c r="GR3726" s="29"/>
      <c r="GS3726" s="29"/>
      <c r="GT3726" s="29"/>
      <c r="GU3726" s="29"/>
      <c r="GV3726" s="29"/>
      <c r="GW3726" s="29"/>
      <c r="GX3726" s="29"/>
      <c r="GY3726" s="29"/>
      <c r="GZ3726" s="29"/>
      <c r="HA3726" s="29"/>
      <c r="HB3726" s="29"/>
      <c r="HC3726" s="29"/>
      <c r="HD3726" s="29"/>
      <c r="HE3726" s="29"/>
      <c r="HF3726" s="29"/>
      <c r="HG3726" s="29"/>
      <c r="HH3726" s="29"/>
      <c r="HI3726" s="29"/>
      <c r="HJ3726" s="29"/>
      <c r="HK3726" s="29"/>
      <c r="HL3726" s="29"/>
      <c r="HM3726" s="29"/>
      <c r="HN3726" s="29"/>
      <c r="HO3726" s="29"/>
      <c r="HP3726" s="29"/>
      <c r="HQ3726" s="29"/>
      <c r="HR3726" s="29"/>
      <c r="HS3726" s="29"/>
      <c r="HT3726" s="29"/>
      <c r="HU3726" s="29"/>
      <c r="HV3726" s="29"/>
      <c r="HW3726" s="29"/>
      <c r="HX3726" s="29"/>
      <c r="HY3726" s="29"/>
      <c r="HZ3726" s="29"/>
      <c r="IA3726" s="29"/>
      <c r="IB3726" s="29"/>
      <c r="IC3726" s="29"/>
      <c r="ID3726" s="29"/>
      <c r="IE3726" s="29"/>
      <c r="IF3726" s="29"/>
      <c r="IG3726" s="29"/>
      <c r="IH3726" s="29"/>
      <c r="II3726" s="29"/>
      <c r="IJ3726" s="29"/>
      <c r="IK3726" s="29"/>
      <c r="IL3726" s="29"/>
      <c r="IM3726" s="29"/>
      <c r="IN3726" s="29"/>
      <c r="IO3726" s="29"/>
      <c r="IP3726" s="29"/>
      <c r="IQ3726" s="29"/>
      <c r="IR3726" s="29"/>
      <c r="IS3726" s="29"/>
      <c r="IT3726" s="29"/>
      <c r="IU3726" s="29"/>
      <c r="IV3726" s="29"/>
      <c r="IW3726" s="29"/>
      <c r="IX3726" s="29"/>
      <c r="IY3726" s="29"/>
      <c r="IZ3726" s="29"/>
      <c r="JA3726" s="29"/>
      <c r="JB3726" s="29"/>
    </row>
    <row r="3727" spans="1:262" s="28" customFormat="1">
      <c r="A3727" s="29"/>
      <c r="B3727" s="29"/>
      <c r="C3727" s="29"/>
      <c r="D3727" s="29"/>
      <c r="E3727" s="29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GK3727" s="29"/>
      <c r="GL3727" s="29"/>
      <c r="GM3727" s="29"/>
      <c r="GN3727" s="29"/>
      <c r="GO3727" s="29"/>
      <c r="GP3727" s="29"/>
      <c r="GQ3727" s="29"/>
      <c r="GR3727" s="29"/>
      <c r="GS3727" s="29"/>
      <c r="GT3727" s="29"/>
      <c r="GU3727" s="29"/>
      <c r="GV3727" s="29"/>
      <c r="GW3727" s="29"/>
      <c r="GX3727" s="29"/>
      <c r="GY3727" s="29"/>
      <c r="GZ3727" s="29"/>
      <c r="HA3727" s="29"/>
      <c r="HB3727" s="29"/>
      <c r="HC3727" s="29"/>
      <c r="HD3727" s="29"/>
      <c r="HE3727" s="29"/>
      <c r="HF3727" s="29"/>
      <c r="HG3727" s="29"/>
      <c r="HH3727" s="29"/>
      <c r="HI3727" s="29"/>
      <c r="HJ3727" s="29"/>
      <c r="HK3727" s="29"/>
      <c r="HL3727" s="29"/>
      <c r="HM3727" s="29"/>
      <c r="HN3727" s="29"/>
      <c r="HO3727" s="29"/>
      <c r="HP3727" s="29"/>
      <c r="HQ3727" s="29"/>
      <c r="HR3727" s="29"/>
      <c r="HS3727" s="29"/>
      <c r="HT3727" s="29"/>
      <c r="HU3727" s="29"/>
      <c r="HV3727" s="29"/>
      <c r="HW3727" s="29"/>
      <c r="HX3727" s="29"/>
      <c r="HY3727" s="29"/>
      <c r="HZ3727" s="29"/>
      <c r="IA3727" s="29"/>
      <c r="IB3727" s="29"/>
      <c r="IC3727" s="29"/>
      <c r="ID3727" s="29"/>
      <c r="IE3727" s="29"/>
      <c r="IF3727" s="29"/>
      <c r="IG3727" s="29"/>
      <c r="IH3727" s="29"/>
      <c r="II3727" s="29"/>
      <c r="IJ3727" s="29"/>
      <c r="IK3727" s="29"/>
      <c r="IL3727" s="29"/>
      <c r="IM3727" s="29"/>
      <c r="IN3727" s="29"/>
      <c r="IO3727" s="29"/>
      <c r="IP3727" s="29"/>
      <c r="IQ3727" s="29"/>
      <c r="IR3727" s="29"/>
      <c r="IS3727" s="29"/>
      <c r="IT3727" s="29"/>
      <c r="IU3727" s="29"/>
      <c r="IV3727" s="29"/>
      <c r="IW3727" s="29"/>
      <c r="IX3727" s="29"/>
      <c r="IY3727" s="29"/>
      <c r="IZ3727" s="29"/>
      <c r="JA3727" s="29"/>
      <c r="JB3727" s="29"/>
    </row>
    <row r="3728" spans="1:262" s="28" customFormat="1">
      <c r="A3728" s="29"/>
      <c r="B3728" s="29"/>
      <c r="C3728" s="29"/>
      <c r="D3728" s="29"/>
      <c r="E3728" s="29"/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GK3728" s="29"/>
      <c r="GL3728" s="29"/>
      <c r="GM3728" s="29"/>
      <c r="GN3728" s="29"/>
      <c r="GO3728" s="29"/>
      <c r="GP3728" s="29"/>
      <c r="GQ3728" s="29"/>
      <c r="GR3728" s="29"/>
      <c r="GS3728" s="29"/>
      <c r="GT3728" s="29"/>
      <c r="GU3728" s="29"/>
      <c r="GV3728" s="29"/>
      <c r="GW3728" s="29"/>
      <c r="GX3728" s="29"/>
      <c r="GY3728" s="29"/>
      <c r="GZ3728" s="29"/>
      <c r="HA3728" s="29"/>
      <c r="HB3728" s="29"/>
      <c r="HC3728" s="29"/>
      <c r="HD3728" s="29"/>
      <c r="HE3728" s="29"/>
      <c r="HF3728" s="29"/>
      <c r="HG3728" s="29"/>
      <c r="HH3728" s="29"/>
      <c r="HI3728" s="29"/>
      <c r="HJ3728" s="29"/>
      <c r="HK3728" s="29"/>
      <c r="HL3728" s="29"/>
      <c r="HM3728" s="29"/>
      <c r="HN3728" s="29"/>
      <c r="HO3728" s="29"/>
      <c r="HP3728" s="29"/>
      <c r="HQ3728" s="29"/>
      <c r="HR3728" s="29"/>
      <c r="HS3728" s="29"/>
      <c r="HT3728" s="29"/>
      <c r="HU3728" s="29"/>
      <c r="HV3728" s="29"/>
      <c r="HW3728" s="29"/>
      <c r="HX3728" s="29"/>
      <c r="HY3728" s="29"/>
      <c r="HZ3728" s="29"/>
      <c r="IA3728" s="29"/>
      <c r="IB3728" s="29"/>
      <c r="IC3728" s="29"/>
      <c r="ID3728" s="29"/>
      <c r="IE3728" s="29"/>
      <c r="IF3728" s="29"/>
      <c r="IG3728" s="29"/>
      <c r="IH3728" s="29"/>
      <c r="II3728" s="29"/>
      <c r="IJ3728" s="29"/>
      <c r="IK3728" s="29"/>
      <c r="IL3728" s="29"/>
      <c r="IM3728" s="29"/>
      <c r="IN3728" s="29"/>
      <c r="IO3728" s="29"/>
      <c r="IP3728" s="29"/>
      <c r="IQ3728" s="29"/>
      <c r="IR3728" s="29"/>
      <c r="IS3728" s="29"/>
      <c r="IT3728" s="29"/>
      <c r="IU3728" s="29"/>
      <c r="IV3728" s="29"/>
      <c r="IW3728" s="29"/>
      <c r="IX3728" s="29"/>
      <c r="IY3728" s="29"/>
      <c r="IZ3728" s="29"/>
      <c r="JA3728" s="29"/>
      <c r="JB3728" s="29"/>
    </row>
    <row r="3729" spans="1:262" s="28" customFormat="1">
      <c r="A3729" s="29"/>
      <c r="B3729" s="29"/>
      <c r="C3729" s="29"/>
      <c r="D3729" s="29"/>
      <c r="E3729" s="29"/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29"/>
      <c r="Q3729" s="29"/>
      <c r="R3729" s="29"/>
      <c r="S3729" s="29"/>
      <c r="T3729" s="29"/>
      <c r="U3729" s="29"/>
      <c r="V3729" s="29"/>
      <c r="GK3729" s="29"/>
      <c r="GL3729" s="29"/>
      <c r="GM3729" s="29"/>
      <c r="GN3729" s="29"/>
      <c r="GO3729" s="29"/>
      <c r="GP3729" s="29"/>
      <c r="GQ3729" s="29"/>
      <c r="GR3729" s="29"/>
      <c r="GS3729" s="29"/>
      <c r="GT3729" s="29"/>
      <c r="GU3729" s="29"/>
      <c r="GV3729" s="29"/>
      <c r="GW3729" s="29"/>
      <c r="GX3729" s="29"/>
      <c r="GY3729" s="29"/>
      <c r="GZ3729" s="29"/>
      <c r="HA3729" s="29"/>
      <c r="HB3729" s="29"/>
      <c r="HC3729" s="29"/>
      <c r="HD3729" s="29"/>
      <c r="HE3729" s="29"/>
      <c r="HF3729" s="29"/>
      <c r="HG3729" s="29"/>
      <c r="HH3729" s="29"/>
      <c r="HI3729" s="29"/>
      <c r="HJ3729" s="29"/>
      <c r="HK3729" s="29"/>
      <c r="HL3729" s="29"/>
      <c r="HM3729" s="29"/>
      <c r="HN3729" s="29"/>
      <c r="HO3729" s="29"/>
      <c r="HP3729" s="29"/>
      <c r="HQ3729" s="29"/>
      <c r="HR3729" s="29"/>
      <c r="HS3729" s="29"/>
      <c r="HT3729" s="29"/>
      <c r="HU3729" s="29"/>
      <c r="HV3729" s="29"/>
      <c r="HW3729" s="29"/>
      <c r="HX3729" s="29"/>
      <c r="HY3729" s="29"/>
      <c r="HZ3729" s="29"/>
      <c r="IA3729" s="29"/>
      <c r="IB3729" s="29"/>
      <c r="IC3729" s="29"/>
      <c r="ID3729" s="29"/>
      <c r="IE3729" s="29"/>
      <c r="IF3729" s="29"/>
      <c r="IG3729" s="29"/>
      <c r="IH3729" s="29"/>
      <c r="II3729" s="29"/>
      <c r="IJ3729" s="29"/>
      <c r="IK3729" s="29"/>
      <c r="IL3729" s="29"/>
      <c r="IM3729" s="29"/>
      <c r="IN3729" s="29"/>
      <c r="IO3729" s="29"/>
      <c r="IP3729" s="29"/>
      <c r="IQ3729" s="29"/>
      <c r="IR3729" s="29"/>
      <c r="IS3729" s="29"/>
      <c r="IT3729" s="29"/>
      <c r="IU3729" s="29"/>
      <c r="IV3729" s="29"/>
      <c r="IW3729" s="29"/>
      <c r="IX3729" s="29"/>
      <c r="IY3729" s="29"/>
      <c r="IZ3729" s="29"/>
      <c r="JA3729" s="29"/>
      <c r="JB3729" s="29"/>
    </row>
    <row r="3730" spans="1:262" s="28" customFormat="1">
      <c r="A3730" s="29"/>
      <c r="B3730" s="29"/>
      <c r="C3730" s="29"/>
      <c r="D3730" s="29"/>
      <c r="E3730" s="29"/>
      <c r="F3730" s="29"/>
      <c r="G3730" s="29"/>
      <c r="H3730" s="29"/>
      <c r="I3730" s="29"/>
      <c r="J3730" s="29"/>
      <c r="K3730" s="29"/>
      <c r="L3730" s="29"/>
      <c r="M3730" s="29"/>
      <c r="N3730" s="29"/>
      <c r="O3730" s="29"/>
      <c r="P3730" s="29"/>
      <c r="Q3730" s="29"/>
      <c r="R3730" s="29"/>
      <c r="S3730" s="29"/>
      <c r="T3730" s="29"/>
      <c r="U3730" s="29"/>
      <c r="V3730" s="29"/>
      <c r="GK3730" s="29"/>
      <c r="GL3730" s="29"/>
      <c r="GM3730" s="29"/>
      <c r="GN3730" s="29"/>
      <c r="GO3730" s="29"/>
      <c r="GP3730" s="29"/>
      <c r="GQ3730" s="29"/>
      <c r="GR3730" s="29"/>
      <c r="GS3730" s="29"/>
      <c r="GT3730" s="29"/>
      <c r="GU3730" s="29"/>
      <c r="GV3730" s="29"/>
      <c r="GW3730" s="29"/>
      <c r="GX3730" s="29"/>
      <c r="GY3730" s="29"/>
      <c r="GZ3730" s="29"/>
      <c r="HA3730" s="29"/>
      <c r="HB3730" s="29"/>
      <c r="HC3730" s="29"/>
      <c r="HD3730" s="29"/>
      <c r="HE3730" s="29"/>
      <c r="HF3730" s="29"/>
      <c r="HG3730" s="29"/>
      <c r="HH3730" s="29"/>
      <c r="HI3730" s="29"/>
      <c r="HJ3730" s="29"/>
      <c r="HK3730" s="29"/>
      <c r="HL3730" s="29"/>
      <c r="HM3730" s="29"/>
      <c r="HN3730" s="29"/>
      <c r="HO3730" s="29"/>
      <c r="HP3730" s="29"/>
      <c r="HQ3730" s="29"/>
      <c r="HR3730" s="29"/>
      <c r="HS3730" s="29"/>
      <c r="HT3730" s="29"/>
      <c r="HU3730" s="29"/>
      <c r="HV3730" s="29"/>
      <c r="HW3730" s="29"/>
      <c r="HX3730" s="29"/>
      <c r="HY3730" s="29"/>
      <c r="HZ3730" s="29"/>
      <c r="IA3730" s="29"/>
      <c r="IB3730" s="29"/>
      <c r="IC3730" s="29"/>
      <c r="ID3730" s="29"/>
      <c r="IE3730" s="29"/>
      <c r="IF3730" s="29"/>
      <c r="IG3730" s="29"/>
      <c r="IH3730" s="29"/>
      <c r="II3730" s="29"/>
      <c r="IJ3730" s="29"/>
      <c r="IK3730" s="29"/>
      <c r="IL3730" s="29"/>
      <c r="IM3730" s="29"/>
      <c r="IN3730" s="29"/>
      <c r="IO3730" s="29"/>
      <c r="IP3730" s="29"/>
      <c r="IQ3730" s="29"/>
      <c r="IR3730" s="29"/>
      <c r="IS3730" s="29"/>
      <c r="IT3730" s="29"/>
      <c r="IU3730" s="29"/>
      <c r="IV3730" s="29"/>
      <c r="IW3730" s="29"/>
      <c r="IX3730" s="29"/>
      <c r="IY3730" s="29"/>
      <c r="IZ3730" s="29"/>
      <c r="JA3730" s="29"/>
      <c r="JB3730" s="29"/>
    </row>
    <row r="3731" spans="1:262" s="28" customFormat="1">
      <c r="A3731" s="29"/>
      <c r="B3731" s="29"/>
      <c r="C3731" s="29"/>
      <c r="D3731" s="29"/>
      <c r="E3731" s="29"/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GK3731" s="29"/>
      <c r="GL3731" s="29"/>
      <c r="GM3731" s="29"/>
      <c r="GN3731" s="29"/>
      <c r="GO3731" s="29"/>
      <c r="GP3731" s="29"/>
      <c r="GQ3731" s="29"/>
      <c r="GR3731" s="29"/>
      <c r="GS3731" s="29"/>
      <c r="GT3731" s="29"/>
      <c r="GU3731" s="29"/>
      <c r="GV3731" s="29"/>
      <c r="GW3731" s="29"/>
      <c r="GX3731" s="29"/>
      <c r="GY3731" s="29"/>
      <c r="GZ3731" s="29"/>
      <c r="HA3731" s="29"/>
      <c r="HB3731" s="29"/>
      <c r="HC3731" s="29"/>
      <c r="HD3731" s="29"/>
      <c r="HE3731" s="29"/>
      <c r="HF3731" s="29"/>
      <c r="HG3731" s="29"/>
      <c r="HH3731" s="29"/>
      <c r="HI3731" s="29"/>
      <c r="HJ3731" s="29"/>
      <c r="HK3731" s="29"/>
      <c r="HL3731" s="29"/>
      <c r="HM3731" s="29"/>
      <c r="HN3731" s="29"/>
      <c r="HO3731" s="29"/>
      <c r="HP3731" s="29"/>
      <c r="HQ3731" s="29"/>
      <c r="HR3731" s="29"/>
      <c r="HS3731" s="29"/>
      <c r="HT3731" s="29"/>
      <c r="HU3731" s="29"/>
      <c r="HV3731" s="29"/>
      <c r="HW3731" s="29"/>
      <c r="HX3731" s="29"/>
      <c r="HY3731" s="29"/>
      <c r="HZ3731" s="29"/>
      <c r="IA3731" s="29"/>
      <c r="IB3731" s="29"/>
      <c r="IC3731" s="29"/>
      <c r="ID3731" s="29"/>
      <c r="IE3731" s="29"/>
      <c r="IF3731" s="29"/>
      <c r="IG3731" s="29"/>
      <c r="IH3731" s="29"/>
      <c r="II3731" s="29"/>
      <c r="IJ3731" s="29"/>
      <c r="IK3731" s="29"/>
      <c r="IL3731" s="29"/>
      <c r="IM3731" s="29"/>
      <c r="IN3731" s="29"/>
      <c r="IO3731" s="29"/>
      <c r="IP3731" s="29"/>
      <c r="IQ3731" s="29"/>
      <c r="IR3731" s="29"/>
      <c r="IS3731" s="29"/>
      <c r="IT3731" s="29"/>
      <c r="IU3731" s="29"/>
      <c r="IV3731" s="29"/>
      <c r="IW3731" s="29"/>
      <c r="IX3731" s="29"/>
      <c r="IY3731" s="29"/>
      <c r="IZ3731" s="29"/>
      <c r="JA3731" s="29"/>
      <c r="JB3731" s="29"/>
    </row>
    <row r="3732" spans="1:262" s="28" customFormat="1">
      <c r="A3732" s="29"/>
      <c r="B3732" s="29"/>
      <c r="C3732" s="29"/>
      <c r="D3732" s="29"/>
      <c r="E3732" s="29"/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GK3732" s="29"/>
      <c r="GL3732" s="29"/>
      <c r="GM3732" s="29"/>
      <c r="GN3732" s="29"/>
      <c r="GO3732" s="29"/>
      <c r="GP3732" s="29"/>
      <c r="GQ3732" s="29"/>
      <c r="GR3732" s="29"/>
      <c r="GS3732" s="29"/>
      <c r="GT3732" s="29"/>
      <c r="GU3732" s="29"/>
      <c r="GV3732" s="29"/>
      <c r="GW3732" s="29"/>
      <c r="GX3732" s="29"/>
      <c r="GY3732" s="29"/>
      <c r="GZ3732" s="29"/>
      <c r="HA3732" s="29"/>
      <c r="HB3732" s="29"/>
      <c r="HC3732" s="29"/>
      <c r="HD3732" s="29"/>
      <c r="HE3732" s="29"/>
      <c r="HF3732" s="29"/>
      <c r="HG3732" s="29"/>
      <c r="HH3732" s="29"/>
      <c r="HI3732" s="29"/>
      <c r="HJ3732" s="29"/>
      <c r="HK3732" s="29"/>
      <c r="HL3732" s="29"/>
      <c r="HM3732" s="29"/>
      <c r="HN3732" s="29"/>
      <c r="HO3732" s="29"/>
      <c r="HP3732" s="29"/>
      <c r="HQ3732" s="29"/>
      <c r="HR3732" s="29"/>
      <c r="HS3732" s="29"/>
      <c r="HT3732" s="29"/>
      <c r="HU3732" s="29"/>
      <c r="HV3732" s="29"/>
      <c r="HW3732" s="29"/>
      <c r="HX3732" s="29"/>
      <c r="HY3732" s="29"/>
      <c r="HZ3732" s="29"/>
      <c r="IA3732" s="29"/>
      <c r="IB3732" s="29"/>
      <c r="IC3732" s="29"/>
      <c r="ID3732" s="29"/>
      <c r="IE3732" s="29"/>
      <c r="IF3732" s="29"/>
      <c r="IG3732" s="29"/>
      <c r="IH3732" s="29"/>
      <c r="II3732" s="29"/>
      <c r="IJ3732" s="29"/>
      <c r="IK3732" s="29"/>
      <c r="IL3732" s="29"/>
      <c r="IM3732" s="29"/>
      <c r="IN3732" s="29"/>
      <c r="IO3732" s="29"/>
      <c r="IP3732" s="29"/>
      <c r="IQ3732" s="29"/>
      <c r="IR3732" s="29"/>
      <c r="IS3732" s="29"/>
      <c r="IT3732" s="29"/>
      <c r="IU3732" s="29"/>
      <c r="IV3732" s="29"/>
      <c r="IW3732" s="29"/>
      <c r="IX3732" s="29"/>
      <c r="IY3732" s="29"/>
      <c r="IZ3732" s="29"/>
      <c r="JA3732" s="29"/>
      <c r="JB3732" s="29"/>
    </row>
    <row r="3733" spans="1:262" s="28" customFormat="1">
      <c r="A3733" s="29"/>
      <c r="B3733" s="29"/>
      <c r="C3733" s="29"/>
      <c r="D3733" s="29"/>
      <c r="E3733" s="29"/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  <c r="P3733" s="29"/>
      <c r="Q3733" s="29"/>
      <c r="R3733" s="29"/>
      <c r="S3733" s="29"/>
      <c r="T3733" s="29"/>
      <c r="U3733" s="29"/>
      <c r="V3733" s="29"/>
      <c r="GK3733" s="29"/>
      <c r="GL3733" s="29"/>
      <c r="GM3733" s="29"/>
      <c r="GN3733" s="29"/>
      <c r="GO3733" s="29"/>
      <c r="GP3733" s="29"/>
      <c r="GQ3733" s="29"/>
      <c r="GR3733" s="29"/>
      <c r="GS3733" s="29"/>
      <c r="GT3733" s="29"/>
      <c r="GU3733" s="29"/>
      <c r="GV3733" s="29"/>
      <c r="GW3733" s="29"/>
      <c r="GX3733" s="29"/>
      <c r="GY3733" s="29"/>
      <c r="GZ3733" s="29"/>
      <c r="HA3733" s="29"/>
      <c r="HB3733" s="29"/>
      <c r="HC3733" s="29"/>
      <c r="HD3733" s="29"/>
      <c r="HE3733" s="29"/>
      <c r="HF3733" s="29"/>
      <c r="HG3733" s="29"/>
      <c r="HH3733" s="29"/>
      <c r="HI3733" s="29"/>
      <c r="HJ3733" s="29"/>
      <c r="HK3733" s="29"/>
      <c r="HL3733" s="29"/>
      <c r="HM3733" s="29"/>
      <c r="HN3733" s="29"/>
      <c r="HO3733" s="29"/>
      <c r="HP3733" s="29"/>
      <c r="HQ3733" s="29"/>
      <c r="HR3733" s="29"/>
      <c r="HS3733" s="29"/>
      <c r="HT3733" s="29"/>
      <c r="HU3733" s="29"/>
      <c r="HV3733" s="29"/>
      <c r="HW3733" s="29"/>
      <c r="HX3733" s="29"/>
      <c r="HY3733" s="29"/>
      <c r="HZ3733" s="29"/>
      <c r="IA3733" s="29"/>
      <c r="IB3733" s="29"/>
      <c r="IC3733" s="29"/>
      <c r="ID3733" s="29"/>
      <c r="IE3733" s="29"/>
      <c r="IF3733" s="29"/>
      <c r="IG3733" s="29"/>
      <c r="IH3733" s="29"/>
      <c r="II3733" s="29"/>
      <c r="IJ3733" s="29"/>
      <c r="IK3733" s="29"/>
      <c r="IL3733" s="29"/>
      <c r="IM3733" s="29"/>
      <c r="IN3733" s="29"/>
      <c r="IO3733" s="29"/>
      <c r="IP3733" s="29"/>
      <c r="IQ3733" s="29"/>
      <c r="IR3733" s="29"/>
      <c r="IS3733" s="29"/>
      <c r="IT3733" s="29"/>
      <c r="IU3733" s="29"/>
      <c r="IV3733" s="29"/>
      <c r="IW3733" s="29"/>
      <c r="IX3733" s="29"/>
      <c r="IY3733" s="29"/>
      <c r="IZ3733" s="29"/>
      <c r="JA3733" s="29"/>
      <c r="JB3733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73" max="16383" man="1"/>
    <brk id="9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C7" sqref="C7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55" t="s">
        <v>5110</v>
      </c>
      <c r="B1" s="355"/>
      <c r="C1" s="355"/>
      <c r="D1" s="355"/>
      <c r="E1" s="355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3048892.48</v>
      </c>
      <c r="D5" s="324">
        <f>+D6+D9+D11+D14+D25+D28+D30</f>
        <v>3450551.1929176189</v>
      </c>
      <c r="E5" s="324">
        <f t="shared" ref="E5" si="0">+E6+E9+E11+E14+E25+E28+E30</f>
        <v>3042778.15</v>
      </c>
    </row>
    <row r="6" spans="1:193">
      <c r="A6" s="297">
        <v>1</v>
      </c>
      <c r="B6" s="58" t="s">
        <v>5125</v>
      </c>
      <c r="C6" s="323">
        <f>+C7+C8</f>
        <v>1324819</v>
      </c>
      <c r="D6" s="323">
        <f t="shared" ref="D6:E6" si="1">+D7+D8</f>
        <v>1497286.1929176187</v>
      </c>
      <c r="E6" s="323">
        <f t="shared" si="1"/>
        <v>618986.55999999994</v>
      </c>
    </row>
    <row r="7" spans="1:193">
      <c r="A7" s="294">
        <v>11</v>
      </c>
      <c r="B7" s="43" t="s">
        <v>5112</v>
      </c>
      <c r="C7" s="322">
        <f>+'A.2 RASHODI'!D4</f>
        <v>1324819</v>
      </c>
      <c r="D7" s="322">
        <f>+'A.2 RASHODI'!D75</f>
        <v>1497286.1929176187</v>
      </c>
      <c r="E7" s="322">
        <f>+'A.2 RASHODI'!D92</f>
        <v>618986.55999999994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RASHODI'!E75</f>
        <v>0</v>
      </c>
      <c r="E8" s="322">
        <f>+'A.2 RASHODI'!E92</f>
        <v>0</v>
      </c>
    </row>
    <row r="9" spans="1:193">
      <c r="A9" s="297">
        <v>3</v>
      </c>
      <c r="B9" s="58" t="s">
        <v>5126</v>
      </c>
      <c r="C9" s="323">
        <f>+C10</f>
        <v>2244.1899999999996</v>
      </c>
      <c r="D9" s="323">
        <f t="shared" ref="D9:E9" si="2">+D10</f>
        <v>20000</v>
      </c>
      <c r="E9" s="323">
        <f t="shared" si="2"/>
        <v>10877.34</v>
      </c>
    </row>
    <row r="10" spans="1:193">
      <c r="A10" s="294">
        <v>31</v>
      </c>
      <c r="B10" s="43" t="s">
        <v>5113</v>
      </c>
      <c r="C10" s="322">
        <f>+'A.2 RASHODI'!F4</f>
        <v>2244.1899999999996</v>
      </c>
      <c r="D10" s="322">
        <f>+'A.2 RASHODI'!F75</f>
        <v>20000</v>
      </c>
      <c r="E10" s="322">
        <f>+'A.2 RASHODI'!F92</f>
        <v>10877.34</v>
      </c>
    </row>
    <row r="11" spans="1:193">
      <c r="A11" s="297">
        <v>4</v>
      </c>
      <c r="B11" s="58" t="s">
        <v>5127</v>
      </c>
      <c r="C11" s="323">
        <f>+C12+C13</f>
        <v>99967.48</v>
      </c>
      <c r="D11" s="323">
        <f t="shared" ref="D11:E11" si="3">+D12+D13</f>
        <v>266700</v>
      </c>
      <c r="E11" s="323">
        <f t="shared" si="3"/>
        <v>91756.639999999927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RASHODI'!G75</f>
        <v>0</v>
      </c>
      <c r="E12" s="322">
        <f>+'A.2 RASHODI'!G92</f>
        <v>0</v>
      </c>
    </row>
    <row r="13" spans="1:193">
      <c r="A13" s="294">
        <v>43</v>
      </c>
      <c r="B13" s="43" t="s">
        <v>5115</v>
      </c>
      <c r="C13" s="322">
        <f>+'A.2 RASHODI'!H4</f>
        <v>99967.48</v>
      </c>
      <c r="D13" s="322">
        <f>+'A.2 RASHODI'!H75</f>
        <v>266700</v>
      </c>
      <c r="E13" s="322">
        <f>+'A.2 RASHODI'!H92</f>
        <v>91756.639999999927</v>
      </c>
    </row>
    <row r="14" spans="1:193">
      <c r="A14" s="297">
        <v>5</v>
      </c>
      <c r="B14" s="58" t="s">
        <v>5128</v>
      </c>
      <c r="C14" s="323">
        <f>SUM(C15:C24)</f>
        <v>1600437.81</v>
      </c>
      <c r="D14" s="323">
        <f t="shared" ref="D14:E14" si="4">SUM(D15:D24)</f>
        <v>1666565</v>
      </c>
      <c r="E14" s="323">
        <f t="shared" si="4"/>
        <v>2237440.38</v>
      </c>
    </row>
    <row r="15" spans="1:193">
      <c r="A15" s="294">
        <v>51</v>
      </c>
      <c r="B15" s="43" t="s">
        <v>5116</v>
      </c>
      <c r="C15" s="322">
        <f>+'A.2 RASHODI'!I4</f>
        <v>56769.930000000008</v>
      </c>
      <c r="D15" s="322">
        <f>+'A.2 RASHODI'!I75</f>
        <v>0</v>
      </c>
      <c r="E15" s="322">
        <f>+'A.1 PRIHODI'!I36</f>
        <v>0</v>
      </c>
    </row>
    <row r="16" spans="1:193">
      <c r="A16" s="294">
        <v>52</v>
      </c>
      <c r="B16" s="43" t="s">
        <v>5117</v>
      </c>
      <c r="C16" s="322">
        <f>+'A.2 RASHODI'!J4</f>
        <v>279037.88</v>
      </c>
      <c r="D16" s="322">
        <f>+'A.2 RASHODI'!J75</f>
        <v>66565</v>
      </c>
      <c r="E16" s="322">
        <f>+'A.2 RASHODI'!J92</f>
        <v>116552.78</v>
      </c>
    </row>
    <row r="17" spans="1:5">
      <c r="A17" s="294">
        <v>552</v>
      </c>
      <c r="B17" s="43" t="s">
        <v>5118</v>
      </c>
      <c r="C17" s="322">
        <f>+'A.2 RASHODI'!K4</f>
        <v>0</v>
      </c>
      <c r="D17" s="322">
        <f>+'A.2 RASHODI'!K75</f>
        <v>0</v>
      </c>
      <c r="E17" s="322">
        <f>+'A.2 RASHODI'!K92</f>
        <v>0</v>
      </c>
    </row>
    <row r="18" spans="1:5">
      <c r="A18" s="294">
        <v>559</v>
      </c>
      <c r="B18" s="43" t="s">
        <v>5119</v>
      </c>
      <c r="C18" s="322">
        <f>+'A.2 RASHODI'!L4</f>
        <v>0</v>
      </c>
      <c r="D18" s="322">
        <f>+'A.2 RASHODI'!L75</f>
        <v>0</v>
      </c>
      <c r="E18" s="322">
        <f>+'A.2 RASHODI'!L92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RASHODI'!M75</f>
        <v>0</v>
      </c>
      <c r="E19" s="322">
        <f>+'A.2 RASHODI'!M92</f>
        <v>0</v>
      </c>
    </row>
    <row r="20" spans="1:5">
      <c r="A20" s="294">
        <v>563</v>
      </c>
      <c r="B20" s="43" t="s">
        <v>1747</v>
      </c>
      <c r="C20" s="322">
        <f>+'A.2 RASHODI'!N4</f>
        <v>1264630</v>
      </c>
      <c r="D20" s="322">
        <f>+'A.2 RASHODI'!N75</f>
        <v>1600000</v>
      </c>
      <c r="E20" s="322">
        <f>+'A.2 RASHODI'!N92</f>
        <v>2120887.6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RASHODI'!O75</f>
        <v>0</v>
      </c>
      <c r="E21" s="322">
        <f>+'A.2 RASHODI'!O92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RASHODI'!P75</f>
        <v>0</v>
      </c>
      <c r="E22" s="322">
        <f>+'A.2 RASHODI'!P92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RASHODI'!Q75</f>
        <v>0</v>
      </c>
      <c r="E23" s="322">
        <f>+'A.2 RASHODI'!Q92</f>
        <v>0</v>
      </c>
    </row>
    <row r="24" spans="1:5">
      <c r="A24" s="294">
        <v>581</v>
      </c>
      <c r="B24" s="43" t="s">
        <v>1778</v>
      </c>
      <c r="C24" s="322">
        <f>+'A.2 RASHODI'!R4</f>
        <v>0</v>
      </c>
      <c r="D24" s="322">
        <f>+'A.2 RASHODI'!R75</f>
        <v>0</v>
      </c>
      <c r="E24" s="322">
        <f>+'A.2 RASHODI'!R92</f>
        <v>0</v>
      </c>
    </row>
    <row r="25" spans="1:5">
      <c r="A25" s="297">
        <v>6</v>
      </c>
      <c r="B25" s="58" t="s">
        <v>5129</v>
      </c>
      <c r="C25" s="323">
        <f>+C26+C27</f>
        <v>21424</v>
      </c>
      <c r="D25" s="323">
        <f t="shared" ref="D25:E25" si="5">+D26+D27</f>
        <v>0</v>
      </c>
      <c r="E25" s="323">
        <f t="shared" si="5"/>
        <v>83717.23000000001</v>
      </c>
    </row>
    <row r="26" spans="1:5">
      <c r="A26" s="294">
        <v>61</v>
      </c>
      <c r="B26" s="43" t="s">
        <v>1683</v>
      </c>
      <c r="C26" s="322">
        <f>+'A.2 RASHODI'!S4</f>
        <v>21424</v>
      </c>
      <c r="D26" s="322">
        <f>+'A.2 RASHODI'!S75</f>
        <v>0</v>
      </c>
      <c r="E26" s="322">
        <f>+'A.2 RASHODI'!S92</f>
        <v>83717.23000000001</v>
      </c>
    </row>
    <row r="27" spans="1:5">
      <c r="A27" s="294">
        <v>63</v>
      </c>
      <c r="B27" s="43" t="s">
        <v>5123</v>
      </c>
      <c r="C27" s="322">
        <f>+'A.2 RASHODI'!T4</f>
        <v>0</v>
      </c>
      <c r="D27" s="322">
        <f>+'A.2 RASHODI'!T75</f>
        <v>0</v>
      </c>
      <c r="E27" s="322">
        <f>+'A.2 RASHODI'!T92</f>
        <v>0</v>
      </c>
    </row>
    <row r="28" spans="1:5" ht="38.25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5124</v>
      </c>
      <c r="C29" s="322">
        <f>+'A.2 RASHODI'!U4</f>
        <v>0</v>
      </c>
      <c r="D29" s="322">
        <f>+'A.2 RASHODI'!U75</f>
        <v>0</v>
      </c>
      <c r="E29" s="322">
        <f>+'A.2 RASHODI'!V92</f>
        <v>0</v>
      </c>
    </row>
    <row r="30" spans="1:5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RASHODI'!V75</f>
        <v>0</v>
      </c>
      <c r="E31" s="322">
        <f>+'A.2 RASHODI'!V92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D73" sqref="D73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55" t="s">
        <v>5132</v>
      </c>
      <c r="B1" s="355"/>
      <c r="C1" s="355"/>
      <c r="D1" s="355"/>
      <c r="E1" s="355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3048892.4800000004</v>
      </c>
      <c r="D5" s="61">
        <f t="shared" ref="D5:E5" si="0">+D6+D15+D21+D28+D38+D45+D52+D59+D66+D75</f>
        <v>3450551.1929176189</v>
      </c>
      <c r="E5" s="61">
        <f t="shared" si="0"/>
        <v>3069973.4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5135</v>
      </c>
      <c r="C7" s="322">
        <f>SUMIF('Unos rashoda i izdataka'!$R$3:$R$575,'A.4 RASHODI FUNK'!$A7,'Unos rashoda i izdataka'!$J$3:$J$575)+SUMIF('Unos rashoda P4'!$T$3:$T$501,'A.4 RASHODI FUNK'!$A7,'Unos rashoda P4'!$H$3:$H$501)</f>
        <v>0</v>
      </c>
      <c r="D7" s="322">
        <f>SUMIF('Unos rashoda i izdataka'!$R$3:$R$575,'A.4 RASHODI FUNK'!$A7,'Unos rashoda i izdataka'!$K$3:$K$575)+SUMIF('Unos rashoda P4'!$T$3:$T$501,'A.4 RASHODI FUNK'!$A7,'Unos rashoda P4'!$I$3:$I$501)</f>
        <v>0</v>
      </c>
      <c r="E7" s="322">
        <f>SUMIF('Unos rashoda i izdataka'!$R$3:$R$575,'A.4 RASHODI FUNK'!$A7,'Unos rashoda i izdataka'!$L$3:$L$575)+SUMIF('Unos rashoda P4'!$T$3:$T$501,'A.4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izdataka'!$R$3:$R$575,'A.4 RASHODI FUNK'!$A8,'Unos rashoda i izdataka'!$J$3:$J$575)+SUMIF('Unos rashoda P4'!$T$3:$T$501,'A.4 RASHODI FUNK'!$A8,'Unos rashoda P4'!$H$3:$H$501)</f>
        <v>0</v>
      </c>
      <c r="D8" s="322">
        <f>SUMIF('Unos rashoda i izdataka'!$R$3:$R$575,'A.4 RASHODI FUNK'!$A8,'Unos rashoda i izdataka'!$K$3:$K$575)+SUMIF('Unos rashoda P4'!$T$3:$T$501,'A.4 RASHODI FUNK'!$A8,'Unos rashoda P4'!$I$3:$I$501)</f>
        <v>0</v>
      </c>
      <c r="E8" s="322">
        <f>SUMIF('Unos rashoda i izdataka'!$R$3:$R$575,'A.4 RASHODI FUNK'!$A8,'Unos rashoda i izdataka'!$L$3:$L$575)+SUMIF('Unos rashoda P4'!$T$3:$T$501,'A.4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izdataka'!$R$3:$R$575,'A.4 RASHODI FUNK'!$A9,'Unos rashoda i izdataka'!$J$3:$J$575)+SUMIF('Unos rashoda P4'!$T$3:$T$501,'A.4 RASHODI FUNK'!$A9,'Unos rashoda P4'!$H$3:$H$501)</f>
        <v>0</v>
      </c>
      <c r="D9" s="322">
        <f>SUMIF('Unos rashoda i izdataka'!$R$3:$R$575,'A.4 RASHODI FUNK'!$A9,'Unos rashoda i izdataka'!$K$3:$K$575)+SUMIF('Unos rashoda P4'!$T$3:$T$501,'A.4 RASHODI FUNK'!$A9,'Unos rashoda P4'!$I$3:$I$501)</f>
        <v>0</v>
      </c>
      <c r="E9" s="322">
        <f>SUMIF('Unos rashoda i izdataka'!$R$3:$R$575,'A.4 RASHODI FUNK'!$A9,'Unos rashoda i izdataka'!$L$3:$L$575)+SUMIF('Unos rashoda P4'!$T$3:$T$501,'A.4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izdataka'!$R$3:$R$575,'A.4 RASHODI FUNK'!$A10,'Unos rashoda i izdataka'!$J$3:$J$575)+SUMIF('Unos rashoda P4'!$T$3:$T$501,'A.4 RASHODI FUNK'!$A10,'Unos rashoda P4'!$H$3:$H$501)</f>
        <v>0</v>
      </c>
      <c r="D10" s="322">
        <f>SUMIF('Unos rashoda i izdataka'!$R$3:$R$575,'A.4 RASHODI FUNK'!$A10,'Unos rashoda i izdataka'!$K$3:$K$575)+SUMIF('Unos rashoda P4'!$T$3:$T$501,'A.4 RASHODI FUNK'!$A10,'Unos rashoda P4'!$I$3:$I$501)</f>
        <v>0</v>
      </c>
      <c r="E10" s="322">
        <f>SUMIF('Unos rashoda i izdataka'!$R$3:$R$575,'A.4 RASHODI FUNK'!$A10,'Unos rashoda i izdataka'!$L$3:$L$575)+SUMIF('Unos rashoda P4'!$T$3:$T$501,'A.4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izdataka'!$R$3:$R$575,'A.4 RASHODI FUNK'!$A11,'Unos rashoda i izdataka'!$J$3:$J$575)+SUMIF('Unos rashoda P4'!$T$3:$T$501,'A.4 RASHODI FUNK'!$A11,'Unos rashoda P4'!$H$3:$H$501)</f>
        <v>0</v>
      </c>
      <c r="D11" s="322">
        <f>SUMIF('Unos rashoda i izdataka'!$R$3:$R$575,'A.4 RASHODI FUNK'!$A11,'Unos rashoda i izdataka'!$K$3:$K$575)+SUMIF('Unos rashoda P4'!$T$3:$T$501,'A.4 RASHODI FUNK'!$A11,'Unos rashoda P4'!$I$3:$I$501)</f>
        <v>0</v>
      </c>
      <c r="E11" s="322">
        <f>SUMIF('Unos rashoda i izdataka'!$R$3:$R$575,'A.4 RASHODI FUNK'!$A11,'Unos rashoda i izdataka'!$L$3:$L$575)+SUMIF('Unos rashoda P4'!$T$3:$T$501,'A.4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izdataka'!$R$3:$R$575,'A.4 RASHODI FUNK'!$A12,'Unos rashoda i izdataka'!$J$3:$J$575)+SUMIF('Unos rashoda P4'!$T$3:$T$501,'A.4 RASHODI FUNK'!$A12,'Unos rashoda P4'!$H$3:$H$501)</f>
        <v>0</v>
      </c>
      <c r="D12" s="322">
        <f>SUMIF('Unos rashoda i izdataka'!$R$3:$R$575,'A.4 RASHODI FUNK'!$A12,'Unos rashoda i izdataka'!$K$3:$K$575)+SUMIF('Unos rashoda P4'!$T$3:$T$501,'A.4 RASHODI FUNK'!$A12,'Unos rashoda P4'!$I$3:$I$501)</f>
        <v>0</v>
      </c>
      <c r="E12" s="322">
        <f>SUMIF('Unos rashoda i izdataka'!$R$3:$R$575,'A.4 RASHODI FUNK'!$A12,'Unos rashoda i izdataka'!$L$3:$L$575)+SUMIF('Unos rashoda P4'!$T$3:$T$501,'A.4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izdataka'!$R$3:$R$575,'A.4 RASHODI FUNK'!$A13,'Unos rashoda i izdataka'!$J$3:$J$575)+SUMIF('Unos rashoda P4'!$T$3:$T$501,'A.4 RASHODI FUNK'!$A13,'Unos rashoda P4'!$H$3:$H$501)</f>
        <v>0</v>
      </c>
      <c r="D13" s="322">
        <f>SUMIF('Unos rashoda i izdataka'!$R$3:$R$575,'A.4 RASHODI FUNK'!$A13,'Unos rashoda i izdataka'!$K$3:$K$575)+SUMIF('Unos rashoda P4'!$T$3:$T$501,'A.4 RASHODI FUNK'!$A13,'Unos rashoda P4'!$I$3:$I$501)</f>
        <v>0</v>
      </c>
      <c r="E13" s="322">
        <f>SUMIF('Unos rashoda i izdataka'!$R$3:$R$575,'A.4 RASHODI FUNK'!$A13,'Unos rashoda i izdataka'!$L$3:$L$575)+SUMIF('Unos rashoda P4'!$T$3:$T$501,'A.4 RASHODI FUNK'!$A13,'Unos rashoda P4'!$J$3:$J$501)</f>
        <v>0</v>
      </c>
    </row>
    <row r="14" spans="1:193" ht="25.5">
      <c r="A14" s="315">
        <v>18</v>
      </c>
      <c r="B14" s="43" t="s">
        <v>5157</v>
      </c>
      <c r="C14" s="322">
        <f>SUMIF('Unos rashoda i izdataka'!$R$3:$R$575,'A.4 RASHODI FUNK'!$A14,'Unos rashoda i izdataka'!$J$3:$J$575)+SUMIF('Unos rashoda P4'!$T$3:$T$501,'A.4 RASHODI FUNK'!$A14,'Unos rashoda P4'!$H$3:$H$501)</f>
        <v>0</v>
      </c>
      <c r="D14" s="322">
        <f>SUMIF('Unos rashoda i izdataka'!$R$3:$R$575,'A.4 RASHODI FUNK'!$A14,'Unos rashoda i izdataka'!$K$3:$K$575)+SUMIF('Unos rashoda P4'!$T$3:$T$501,'A.4 RASHODI FUNK'!$A14,'Unos rashoda P4'!$I$3:$I$501)</f>
        <v>0</v>
      </c>
      <c r="E14" s="322">
        <f>SUMIF('Unos rashoda i izdataka'!$R$3:$R$575,'A.4 RASHODI FUNK'!$A14,'Unos rashoda i izdataka'!$L$3:$L$575)+SUMIF('Unos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izdataka'!$R$3:$R$575,'A.4 RASHODI FUNK'!$A16,'Unos rashoda i izdataka'!$J$3:$J$575)+SUMIF('Unos rashoda P4'!$T$3:$T$501,'A.4 RASHODI FUNK'!$A16,'Unos rashoda P4'!$H$3:$H$501)</f>
        <v>0</v>
      </c>
      <c r="D16" s="322">
        <f>SUMIF('Unos rashoda i izdataka'!$R$3:$R$575,'A.4 RASHODI FUNK'!$A16,'Unos rashoda i izdataka'!$K$3:$K$575)+SUMIF('Unos rashoda P4'!$T$3:$T$501,'A.4 RASHODI FUNK'!$A16,'Unos rashoda P4'!$I$3:$I$501)</f>
        <v>0</v>
      </c>
      <c r="E16" s="322">
        <f>SUMIF('Unos rashoda i izdataka'!$R$3:$R$575,'A.4 RASHODI FUNK'!$A16,'Unos rashoda i izdataka'!$L$3:$L$575)+SUMIF('Unos rashoda P4'!$T$3:$T$501,'A.4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izdataka'!$R$3:$R$575,'A.4 RASHODI FUNK'!$A17,'Unos rashoda i izdataka'!$J$3:$J$575)+SUMIF('Unos rashoda P4'!$T$3:$T$501,'A.4 RASHODI FUNK'!$A17,'Unos rashoda P4'!$H$3:$H$501)</f>
        <v>0</v>
      </c>
      <c r="D17" s="322">
        <f>SUMIF('Unos rashoda i izdataka'!$R$3:$R$575,'A.4 RASHODI FUNK'!$A17,'Unos rashoda i izdataka'!$K$3:$K$575)+SUMIF('Unos rashoda P4'!$T$3:$T$501,'A.4 RASHODI FUNK'!$A17,'Unos rashoda P4'!$I$3:$I$501)</f>
        <v>0</v>
      </c>
      <c r="E17" s="322">
        <f>SUMIF('Unos rashoda i izdataka'!$R$3:$R$575,'A.4 RASHODI FUNK'!$A17,'Unos rashoda i izdataka'!$L$3:$L$575)+SUMIF('Unos rashoda P4'!$T$3:$T$501,'A.4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izdataka'!$R$3:$R$575,'A.4 RASHODI FUNK'!$A18,'Unos rashoda i izdataka'!$J$3:$J$575)+SUMIF('Unos rashoda P4'!$T$3:$T$501,'A.4 RASHODI FUNK'!$A18,'Unos rashoda P4'!$H$3:$H$501)</f>
        <v>0</v>
      </c>
      <c r="D18" s="322">
        <f>SUMIF('Unos rashoda i izdataka'!$R$3:$R$575,'A.4 RASHODI FUNK'!$A18,'Unos rashoda i izdataka'!$K$3:$K$575)+SUMIF('Unos rashoda P4'!$T$3:$T$501,'A.4 RASHODI FUNK'!$A18,'Unos rashoda P4'!$I$3:$I$501)</f>
        <v>0</v>
      </c>
      <c r="E18" s="322">
        <f>SUMIF('Unos rashoda i izdataka'!$R$3:$R$575,'A.4 RASHODI FUNK'!$A18,'Unos rashoda i izdataka'!$L$3:$L$575)+SUMIF('Unos rashoda P4'!$T$3:$T$501,'A.4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izdataka'!$R$3:$R$575,'A.4 RASHODI FUNK'!$A19,'Unos rashoda i izdataka'!$J$3:$J$575)+SUMIF('Unos rashoda P4'!$T$3:$T$501,'A.4 RASHODI FUNK'!$A19,'Unos rashoda P4'!$H$3:$H$501)</f>
        <v>0</v>
      </c>
      <c r="D19" s="322">
        <f>SUMIF('Unos rashoda i izdataka'!$R$3:$R$575,'A.4 RASHODI FUNK'!$A19,'Unos rashoda i izdataka'!$K$3:$K$575)+SUMIF('Unos rashoda P4'!$T$3:$T$501,'A.4 RASHODI FUNK'!$A19,'Unos rashoda P4'!$I$3:$I$501)</f>
        <v>0</v>
      </c>
      <c r="E19" s="322">
        <f>SUMIF('Unos rashoda i izdataka'!$R$3:$R$575,'A.4 RASHODI FUNK'!$A19,'Unos rashoda i izdataka'!$L$3:$L$575)+SUMIF('Unos rashoda P4'!$T$3:$T$501,'A.4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izdataka'!$R$3:$R$575,'A.4 RASHODI FUNK'!$A20,'Unos rashoda i izdataka'!$J$3:$J$575)+SUMIF('Unos rashoda P4'!$T$3:$T$501,'A.4 RASHODI FUNK'!$A20,'Unos rashoda P4'!$H$3:$H$501)</f>
        <v>0</v>
      </c>
      <c r="D20" s="322">
        <f>SUMIF('Unos rashoda i izdataka'!$R$3:$R$575,'A.4 RASHODI FUNK'!$A20,'Unos rashoda i izdataka'!$K$3:$K$575)+SUMIF('Unos rashoda P4'!$T$3:$T$501,'A.4 RASHODI FUNK'!$A20,'Unos rashoda P4'!$I$3:$I$501)</f>
        <v>0</v>
      </c>
      <c r="E20" s="322">
        <f>SUMIF('Unos rashoda i izdataka'!$R$3:$R$575,'A.4 RASHODI FUNK'!$A20,'Unos rashoda i izdataka'!$L$3:$L$575)+SUMIF('Unos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izdataka'!$R$3:$R$575,'A.4 RASHODI FUNK'!$A22,'Unos rashoda i izdataka'!$J$3:$J$575)+SUMIF('Unos rashoda P4'!$T$3:$T$501,'A.4 RASHODI FUNK'!$A22,'Unos rashoda P4'!$H$3:$H$501)</f>
        <v>0</v>
      </c>
      <c r="D22" s="322">
        <f>SUMIF('Unos rashoda i izdataka'!$R$3:$R$575,'A.4 RASHODI FUNK'!$A22,'Unos rashoda i izdataka'!$K$3:$K$575)+SUMIF('Unos rashoda P4'!$T$3:$T$501,'A.4 RASHODI FUNK'!$A22,'Unos rashoda P4'!$I$3:$I$501)</f>
        <v>0</v>
      </c>
      <c r="E22" s="322">
        <f>SUMIF('Unos rashoda i izdataka'!$R$3:$R$575,'A.4 RASHODI FUNK'!$A22,'Unos rashoda i izdataka'!$L$3:$L$575)+SUMIF('Unos rashoda P4'!$T$3:$T$501,'A.4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izdataka'!$R$3:$R$575,'A.4 RASHODI FUNK'!$A23,'Unos rashoda i izdataka'!$J$3:$J$575)+SUMIF('Unos rashoda P4'!$T$3:$T$501,'A.4 RASHODI FUNK'!$A23,'Unos rashoda P4'!$H$3:$H$501)</f>
        <v>0</v>
      </c>
      <c r="D23" s="322">
        <f>SUMIF('Unos rashoda i izdataka'!$R$3:$R$575,'A.4 RASHODI FUNK'!$A23,'Unos rashoda i izdataka'!$K$3:$K$575)+SUMIF('Unos rashoda P4'!$T$3:$T$501,'A.4 RASHODI FUNK'!$A23,'Unos rashoda P4'!$I$3:$I$501)</f>
        <v>0</v>
      </c>
      <c r="E23" s="322">
        <f>SUMIF('Unos rashoda i izdataka'!$R$3:$R$575,'A.4 RASHODI FUNK'!$A23,'Unos rashoda i izdataka'!$L$3:$L$575)+SUMIF('Unos rashoda P4'!$T$3:$T$501,'A.4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izdataka'!$R$3:$R$575,'A.4 RASHODI FUNK'!$A24,'Unos rashoda i izdataka'!$J$3:$J$575)+SUMIF('Unos rashoda P4'!$T$3:$T$501,'A.4 RASHODI FUNK'!$A24,'Unos rashoda P4'!$H$3:$H$501)</f>
        <v>0</v>
      </c>
      <c r="D24" s="322">
        <f>SUMIF('Unos rashoda i izdataka'!$R$3:$R$575,'A.4 RASHODI FUNK'!$A24,'Unos rashoda i izdataka'!$K$3:$K$575)+SUMIF('Unos rashoda P4'!$T$3:$T$501,'A.4 RASHODI FUNK'!$A24,'Unos rashoda P4'!$I$3:$I$501)</f>
        <v>0</v>
      </c>
      <c r="E24" s="322">
        <f>SUMIF('Unos rashoda i izdataka'!$R$3:$R$575,'A.4 RASHODI FUNK'!$A24,'Unos rashoda i izdataka'!$L$3:$L$575)+SUMIF('Unos rashoda P4'!$T$3:$T$501,'A.4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izdataka'!$R$3:$R$575,'A.4 RASHODI FUNK'!$A25,'Unos rashoda i izdataka'!$J$3:$J$575)+SUMIF('Unos rashoda P4'!$T$3:$T$501,'A.4 RASHODI FUNK'!$A25,'Unos rashoda P4'!$H$3:$H$501)</f>
        <v>0</v>
      </c>
      <c r="D25" s="322">
        <f>SUMIF('Unos rashoda i izdataka'!$R$3:$R$575,'A.4 RASHODI FUNK'!$A25,'Unos rashoda i izdataka'!$K$3:$K$575)+SUMIF('Unos rashoda P4'!$T$3:$T$501,'A.4 RASHODI FUNK'!$A25,'Unos rashoda P4'!$I$3:$I$501)</f>
        <v>0</v>
      </c>
      <c r="E25" s="322">
        <f>SUMIF('Unos rashoda i izdataka'!$R$3:$R$575,'A.4 RASHODI FUNK'!$A25,'Unos rashoda i izdataka'!$L$3:$L$575)+SUMIF('Unos rashoda P4'!$T$3:$T$501,'A.4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izdataka'!$R$3:$R$575,'A.4 RASHODI FUNK'!$A26,'Unos rashoda i izdataka'!$J$3:$J$575)+SUMIF('Unos rashoda P4'!$T$3:$T$501,'A.4 RASHODI FUNK'!$A26,'Unos rashoda P4'!$H$3:$H$501)</f>
        <v>0</v>
      </c>
      <c r="D26" s="322">
        <f>SUMIF('Unos rashoda i izdataka'!$R$3:$R$575,'A.4 RASHODI FUNK'!$A26,'Unos rashoda i izdataka'!$K$3:$K$575)+SUMIF('Unos rashoda P4'!$T$3:$T$501,'A.4 RASHODI FUNK'!$A26,'Unos rashoda P4'!$I$3:$I$501)</f>
        <v>0</v>
      </c>
      <c r="E26" s="322">
        <f>SUMIF('Unos rashoda i izdataka'!$R$3:$R$575,'A.4 RASHODI FUNK'!$A26,'Unos rashoda i izdataka'!$L$3:$L$575)+SUMIF('Unos rashoda P4'!$T$3:$T$501,'A.4 RASHODI FUNK'!$A26,'Unos rashoda P4'!$J$3:$J$501)</f>
        <v>0</v>
      </c>
    </row>
    <row r="27" spans="1:5" ht="25.5">
      <c r="A27" s="315">
        <v>36</v>
      </c>
      <c r="B27" s="43" t="s">
        <v>5201</v>
      </c>
      <c r="C27" s="322">
        <f>SUMIF('Unos rashoda i izdataka'!$R$3:$R$575,'A.4 RASHODI FUNK'!$A27,'Unos rashoda i izdataka'!$J$3:$J$575)+SUMIF('Unos rashoda P4'!$T$3:$T$501,'A.4 RASHODI FUNK'!$A27,'Unos rashoda P4'!$H$3:$H$501)</f>
        <v>0</v>
      </c>
      <c r="D27" s="322">
        <f>SUMIF('Unos rashoda i izdataka'!$R$3:$R$575,'A.4 RASHODI FUNK'!$A27,'Unos rashoda i izdataka'!$K$3:$K$575)+SUMIF('Unos rashoda P4'!$T$3:$T$501,'A.4 RASHODI FUNK'!$A27,'Unos rashoda P4'!$I$3:$I$501)</f>
        <v>0</v>
      </c>
      <c r="E27" s="322">
        <f>SUMIF('Unos rashoda i izdataka'!$R$3:$R$575,'A.4 RASHODI FUNK'!$A27,'Unos rashoda i izdataka'!$L$3:$L$575)+SUMIF('Unos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izdataka'!$R$3:$R$575,'A.4 RASHODI FUNK'!$A29,'Unos rashoda i izdataka'!$J$3:$J$575)+SUMIF('Unos rashoda P4'!$T$3:$T$501,'A.4 RASHODI FUNK'!$A29,'Unos rashoda P4'!$H$3:$H$501)</f>
        <v>0</v>
      </c>
      <c r="D29" s="322">
        <f>SUMIF('Unos rashoda i izdataka'!$R$3:$R$575,'A.4 RASHODI FUNK'!$A29,'Unos rashoda i izdataka'!$K$3:$K$575)+SUMIF('Unos rashoda P4'!$T$3:$T$501,'A.4 RASHODI FUNK'!$A29,'Unos rashoda P4'!$I$3:$I$501)</f>
        <v>0</v>
      </c>
      <c r="E29" s="322">
        <f>SUMIF('Unos rashoda i izdataka'!$R$3:$R$575,'A.4 RASHODI FUNK'!$A29,'Unos rashoda i izdataka'!$L$3:$L$575)+SUMIF('Unos rashoda P4'!$T$3:$T$501,'A.4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izdataka'!$R$3:$R$575,'A.4 RASHODI FUNK'!$A30,'Unos rashoda i izdataka'!$J$3:$J$575)+SUMIF('Unos rashoda P4'!$T$3:$T$501,'A.4 RASHODI FUNK'!$A30,'Unos rashoda P4'!$H$3:$H$501)</f>
        <v>0</v>
      </c>
      <c r="D30" s="322">
        <f>SUMIF('Unos rashoda i izdataka'!$R$3:$R$575,'A.4 RASHODI FUNK'!$A30,'Unos rashoda i izdataka'!$K$3:$K$575)+SUMIF('Unos rashoda P4'!$T$3:$T$501,'A.4 RASHODI FUNK'!$A30,'Unos rashoda P4'!$I$3:$I$501)</f>
        <v>0</v>
      </c>
      <c r="E30" s="322">
        <f>SUMIF('Unos rashoda i izdataka'!$R$3:$R$575,'A.4 RASHODI FUNK'!$A30,'Unos rashoda i izdataka'!$L$3:$L$575)+SUMIF('Unos rashoda P4'!$T$3:$T$501,'A.4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izdataka'!$R$3:$R$575,'A.4 RASHODI FUNK'!$A31,'Unos rashoda i izdataka'!$J$3:$J$575)+SUMIF('Unos rashoda P4'!$T$3:$T$501,'A.4 RASHODI FUNK'!$A31,'Unos rashoda P4'!$H$3:$H$501)</f>
        <v>0</v>
      </c>
      <c r="D31" s="322">
        <f>SUMIF('Unos rashoda i izdataka'!$R$3:$R$575,'A.4 RASHODI FUNK'!$A31,'Unos rashoda i izdataka'!$K$3:$K$575)+SUMIF('Unos rashoda P4'!$T$3:$T$501,'A.4 RASHODI FUNK'!$A31,'Unos rashoda P4'!$I$3:$I$501)</f>
        <v>0</v>
      </c>
      <c r="E31" s="322">
        <f>SUMIF('Unos rashoda i izdataka'!$R$3:$R$575,'A.4 RASHODI FUNK'!$A31,'Unos rashoda i izdataka'!$L$3:$L$575)+SUMIF('Unos rashoda P4'!$T$3:$T$501,'A.4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izdataka'!$R$3:$R$575,'A.4 RASHODI FUNK'!$A32,'Unos rashoda i izdataka'!$J$3:$J$575)+SUMIF('Unos rashoda P4'!$T$3:$T$501,'A.4 RASHODI FUNK'!$A32,'Unos rashoda P4'!$H$3:$H$501)</f>
        <v>0</v>
      </c>
      <c r="D32" s="322">
        <f>SUMIF('Unos rashoda i izdataka'!$R$3:$R$575,'A.4 RASHODI FUNK'!$A32,'Unos rashoda i izdataka'!$K$3:$K$575)+SUMIF('Unos rashoda P4'!$T$3:$T$501,'A.4 RASHODI FUNK'!$A32,'Unos rashoda P4'!$I$3:$I$501)</f>
        <v>0</v>
      </c>
      <c r="E32" s="322">
        <f>SUMIF('Unos rashoda i izdataka'!$R$3:$R$575,'A.4 RASHODI FUNK'!$A32,'Unos rashoda i izdataka'!$L$3:$L$575)+SUMIF('Unos rashoda P4'!$T$3:$T$501,'A.4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izdataka'!$R$3:$R$575,'A.4 RASHODI FUNK'!$A33,'Unos rashoda i izdataka'!$J$3:$J$575)+SUMIF('Unos rashoda P4'!$T$3:$T$501,'A.4 RASHODI FUNK'!$A33,'Unos rashoda P4'!$H$3:$H$501)</f>
        <v>0</v>
      </c>
      <c r="D33" s="322">
        <f>SUMIF('Unos rashoda i izdataka'!$R$3:$R$575,'A.4 RASHODI FUNK'!$A33,'Unos rashoda i izdataka'!$K$3:$K$575)+SUMIF('Unos rashoda P4'!$T$3:$T$501,'A.4 RASHODI FUNK'!$A33,'Unos rashoda P4'!$I$3:$I$501)</f>
        <v>0</v>
      </c>
      <c r="E33" s="322">
        <f>SUMIF('Unos rashoda i izdataka'!$R$3:$R$575,'A.4 RASHODI FUNK'!$A33,'Unos rashoda i izdataka'!$L$3:$L$575)+SUMIF('Unos rashoda P4'!$T$3:$T$501,'A.4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izdataka'!$R$3:$R$575,'A.4 RASHODI FUNK'!$A34,'Unos rashoda i izdataka'!$J$3:$J$575)+SUMIF('Unos rashoda P4'!$T$3:$T$501,'A.4 RASHODI FUNK'!$A34,'Unos rashoda P4'!$H$3:$H$501)</f>
        <v>0</v>
      </c>
      <c r="D34" s="322">
        <f>SUMIF('Unos rashoda i izdataka'!$R$3:$R$575,'A.4 RASHODI FUNK'!$A34,'Unos rashoda i izdataka'!$K$3:$K$575)+SUMIF('Unos rashoda P4'!$T$3:$T$501,'A.4 RASHODI FUNK'!$A34,'Unos rashoda P4'!$I$3:$I$501)</f>
        <v>0</v>
      </c>
      <c r="E34" s="322">
        <f>SUMIF('Unos rashoda i izdataka'!$R$3:$R$575,'A.4 RASHODI FUNK'!$A34,'Unos rashoda i izdataka'!$L$3:$L$575)+SUMIF('Unos rashoda P4'!$T$3:$T$501,'A.4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izdataka'!$R$3:$R$575,'A.4 RASHODI FUNK'!$A35,'Unos rashoda i izdataka'!$J$3:$J$575)+SUMIF('Unos rashoda P4'!$T$3:$T$501,'A.4 RASHODI FUNK'!$A35,'Unos rashoda P4'!$H$3:$H$501)</f>
        <v>0</v>
      </c>
      <c r="D35" s="322">
        <f>SUMIF('Unos rashoda i izdataka'!$R$3:$R$575,'A.4 RASHODI FUNK'!$A35,'Unos rashoda i izdataka'!$K$3:$K$575)+SUMIF('Unos rashoda P4'!$T$3:$T$501,'A.4 RASHODI FUNK'!$A35,'Unos rashoda P4'!$I$3:$I$501)</f>
        <v>0</v>
      </c>
      <c r="E35" s="322">
        <f>SUMIF('Unos rashoda i izdataka'!$R$3:$R$575,'A.4 RASHODI FUNK'!$A35,'Unos rashoda i izdataka'!$L$3:$L$575)+SUMIF('Unos rashoda P4'!$T$3:$T$501,'A.4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izdataka'!$R$3:$R$575,'A.4 RASHODI FUNK'!$A36,'Unos rashoda i izdataka'!$J$3:$J$575)+SUMIF('Unos rashoda P4'!$T$3:$T$501,'A.4 RASHODI FUNK'!$A36,'Unos rashoda P4'!$H$3:$H$501)</f>
        <v>0</v>
      </c>
      <c r="D36" s="322">
        <f>SUMIF('Unos rashoda i izdataka'!$R$3:$R$575,'A.4 RASHODI FUNK'!$A36,'Unos rashoda i izdataka'!$K$3:$K$575)+SUMIF('Unos rashoda P4'!$T$3:$T$501,'A.4 RASHODI FUNK'!$A36,'Unos rashoda P4'!$I$3:$I$501)</f>
        <v>0</v>
      </c>
      <c r="E36" s="322">
        <f>SUMIF('Unos rashoda i izdataka'!$R$3:$R$575,'A.4 RASHODI FUNK'!$A36,'Unos rashoda i izdataka'!$L$3:$L$575)+SUMIF('Unos rashoda P4'!$T$3:$T$501,'A.4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izdataka'!$R$3:$R$575,'A.4 RASHODI FUNK'!$A37,'Unos rashoda i izdataka'!$J$3:$J$575)+SUMIF('Unos rashoda P4'!$T$3:$T$501,'A.4 RASHODI FUNK'!$A37,'Unos rashoda P4'!$H$3:$H$501)</f>
        <v>0</v>
      </c>
      <c r="D37" s="322">
        <f>SUMIF('Unos rashoda i izdataka'!$R$3:$R$575,'A.4 RASHODI FUNK'!$A37,'Unos rashoda i izdataka'!$K$3:$K$575)+SUMIF('Unos rashoda P4'!$T$3:$T$501,'A.4 RASHODI FUNK'!$A37,'Unos rashoda P4'!$I$3:$I$501)</f>
        <v>0</v>
      </c>
      <c r="E37" s="322">
        <f>SUMIF('Unos rashoda i izdataka'!$R$3:$R$575,'A.4 RASHODI FUNK'!$A37,'Unos rashoda i izdataka'!$L$3:$L$575)+SUMIF('Unos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izdataka'!$R$3:$R$575,'A.4 RASHODI FUNK'!$A39,'Unos rashoda i izdataka'!$J$3:$J$575)+SUMIF('Unos rashoda P4'!$T$3:$T$501,'A.4 RASHODI FUNK'!$A39,'Unos rashoda P4'!$H$3:$H$501)</f>
        <v>0</v>
      </c>
      <c r="D39" s="322">
        <f>SUMIF('Unos rashoda i izdataka'!$R$3:$R$575,'A.4 RASHODI FUNK'!$A39,'Unos rashoda i izdataka'!$K$3:$K$575)+SUMIF('Unos rashoda P4'!$T$3:$T$501,'A.4 RASHODI FUNK'!$A39,'Unos rashoda P4'!$I$3:$I$501)</f>
        <v>0</v>
      </c>
      <c r="E39" s="322">
        <f>SUMIF('Unos rashoda i izdataka'!$R$3:$R$575,'A.4 RASHODI FUNK'!$A39,'Unos rashoda i izdataka'!$L$3:$L$575)+SUMIF('Unos rashoda P4'!$T$3:$T$501,'A.4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izdataka'!$R$3:$R$575,'A.4 RASHODI FUNK'!$A40,'Unos rashoda i izdataka'!$J$3:$J$575)+SUMIF('Unos rashoda P4'!$T$3:$T$501,'A.4 RASHODI FUNK'!$A40,'Unos rashoda P4'!$H$3:$H$501)</f>
        <v>0</v>
      </c>
      <c r="D40" s="322">
        <f>SUMIF('Unos rashoda i izdataka'!$R$3:$R$575,'A.4 RASHODI FUNK'!$A40,'Unos rashoda i izdataka'!$K$3:$K$575)+SUMIF('Unos rashoda P4'!$T$3:$T$501,'A.4 RASHODI FUNK'!$A40,'Unos rashoda P4'!$I$3:$I$501)</f>
        <v>0</v>
      </c>
      <c r="E40" s="322">
        <f>SUMIF('Unos rashoda i izdataka'!$R$3:$R$575,'A.4 RASHODI FUNK'!$A40,'Unos rashoda i izdataka'!$L$3:$L$575)+SUMIF('Unos rashoda P4'!$T$3:$T$501,'A.4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izdataka'!$R$3:$R$575,'A.4 RASHODI FUNK'!$A41,'Unos rashoda i izdataka'!$J$3:$J$575)+SUMIF('Unos rashoda P4'!$T$3:$T$501,'A.4 RASHODI FUNK'!$A41,'Unos rashoda P4'!$H$3:$H$501)</f>
        <v>0</v>
      </c>
      <c r="D41" s="322">
        <f>SUMIF('Unos rashoda i izdataka'!$R$3:$R$575,'A.4 RASHODI FUNK'!$A41,'Unos rashoda i izdataka'!$K$3:$K$575)+SUMIF('Unos rashoda P4'!$T$3:$T$501,'A.4 RASHODI FUNK'!$A41,'Unos rashoda P4'!$I$3:$I$501)</f>
        <v>0</v>
      </c>
      <c r="E41" s="322">
        <f>SUMIF('Unos rashoda i izdataka'!$R$3:$R$575,'A.4 RASHODI FUNK'!$A41,'Unos rashoda i izdataka'!$L$3:$L$575)+SUMIF('Unos rashoda P4'!$T$3:$T$501,'A.4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izdataka'!$R$3:$R$575,'A.4 RASHODI FUNK'!$A42,'Unos rashoda i izdataka'!$J$3:$J$575)+SUMIF('Unos rashoda P4'!$T$3:$T$501,'A.4 RASHODI FUNK'!$A42,'Unos rashoda P4'!$H$3:$H$501)</f>
        <v>0</v>
      </c>
      <c r="D42" s="322">
        <f>SUMIF('Unos rashoda i izdataka'!$R$3:$R$575,'A.4 RASHODI FUNK'!$A42,'Unos rashoda i izdataka'!$K$3:$K$575)+SUMIF('Unos rashoda P4'!$T$3:$T$501,'A.4 RASHODI FUNK'!$A42,'Unos rashoda P4'!$I$3:$I$501)</f>
        <v>0</v>
      </c>
      <c r="E42" s="322">
        <f>SUMIF('Unos rashoda i izdataka'!$R$3:$R$575,'A.4 RASHODI FUNK'!$A42,'Unos rashoda i izdataka'!$L$3:$L$575)+SUMIF('Unos rashoda P4'!$T$3:$T$501,'A.4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izdataka'!$R$3:$R$575,'A.4 RASHODI FUNK'!$A43,'Unos rashoda i izdataka'!$J$3:$J$575)+SUMIF('Unos rashoda P4'!$T$3:$T$501,'A.4 RASHODI FUNK'!$A43,'Unos rashoda P4'!$H$3:$H$501)</f>
        <v>0</v>
      </c>
      <c r="D43" s="322">
        <f>SUMIF('Unos rashoda i izdataka'!$R$3:$R$575,'A.4 RASHODI FUNK'!$A43,'Unos rashoda i izdataka'!$K$3:$K$575)+SUMIF('Unos rashoda P4'!$T$3:$T$501,'A.4 RASHODI FUNK'!$A43,'Unos rashoda P4'!$I$3:$I$501)</f>
        <v>0</v>
      </c>
      <c r="E43" s="322">
        <f>SUMIF('Unos rashoda i izdataka'!$R$3:$R$575,'A.4 RASHODI FUNK'!$A43,'Unos rashoda i izdataka'!$L$3:$L$575)+SUMIF('Unos rashoda P4'!$T$3:$T$501,'A.4 RASHODI FUNK'!$A43,'Unos rashoda P4'!$J$3:$J$501)</f>
        <v>0</v>
      </c>
    </row>
    <row r="44" spans="1:5" ht="25.5">
      <c r="A44" s="315">
        <v>56</v>
      </c>
      <c r="B44" s="43" t="s">
        <v>5217</v>
      </c>
      <c r="C44" s="322">
        <f>SUMIF('Unos rashoda i izdataka'!$R$3:$R$575,'A.4 RASHODI FUNK'!$A44,'Unos rashoda i izdataka'!$J$3:$J$575)+SUMIF('Unos rashoda P4'!$T$3:$T$501,'A.4 RASHODI FUNK'!$A44,'Unos rashoda P4'!$H$3:$H$501)</f>
        <v>0</v>
      </c>
      <c r="D44" s="322">
        <f>SUMIF('Unos rashoda i izdataka'!$R$3:$R$575,'A.4 RASHODI FUNK'!$A44,'Unos rashoda i izdataka'!$K$3:$K$575)+SUMIF('Unos rashoda P4'!$T$3:$T$501,'A.4 RASHODI FUNK'!$A44,'Unos rashoda P4'!$I$3:$I$501)</f>
        <v>0</v>
      </c>
      <c r="E44" s="322">
        <f>SUMIF('Unos rashoda i izdataka'!$R$3:$R$575,'A.4 RASHODI FUNK'!$A44,'Unos rashoda i izdataka'!$L$3:$L$575)+SUMIF('Unos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izdataka'!$R$3:$R$575,'A.4 RASHODI FUNK'!$A46,'Unos rashoda i izdataka'!$J$3:$J$575)+SUMIF('Unos rashoda P4'!$T$3:$T$501,'A.4 RASHODI FUNK'!$A46,'Unos rashoda P4'!$H$3:$H$501)</f>
        <v>0</v>
      </c>
      <c r="D46" s="322">
        <f>SUMIF('Unos rashoda i izdataka'!$R$3:$R$575,'A.4 RASHODI FUNK'!$A46,'Unos rashoda i izdataka'!$K$3:$K$575)+SUMIF('Unos rashoda P4'!$T$3:$T$501,'A.4 RASHODI FUNK'!$A46,'Unos rashoda P4'!$I$3:$I$501)</f>
        <v>0</v>
      </c>
      <c r="E46" s="322">
        <f>SUMIF('Unos rashoda i izdataka'!$R$3:$R$575,'A.4 RASHODI FUNK'!$A46,'Unos rashoda i izdataka'!$L$3:$L$575)+SUMIF('Unos rashoda P4'!$T$3:$T$501,'A.4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izdataka'!$R$3:$R$575,'A.4 RASHODI FUNK'!$A47,'Unos rashoda i izdataka'!$J$3:$J$575)+SUMIF('Unos rashoda P4'!$T$3:$T$501,'A.4 RASHODI FUNK'!$A47,'Unos rashoda P4'!$H$3:$H$501)</f>
        <v>0</v>
      </c>
      <c r="D47" s="322">
        <f>SUMIF('Unos rashoda i izdataka'!$R$3:$R$575,'A.4 RASHODI FUNK'!$A47,'Unos rashoda i izdataka'!$K$3:$K$575)+SUMIF('Unos rashoda P4'!$T$3:$T$501,'A.4 RASHODI FUNK'!$A47,'Unos rashoda P4'!$I$3:$I$501)</f>
        <v>0</v>
      </c>
      <c r="E47" s="322">
        <f>SUMIF('Unos rashoda i izdataka'!$R$3:$R$575,'A.4 RASHODI FUNK'!$A47,'Unos rashoda i izdataka'!$L$3:$L$575)+SUMIF('Unos rashoda P4'!$T$3:$T$501,'A.4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izdataka'!$R$3:$R$575,'A.4 RASHODI FUNK'!$A48,'Unos rashoda i izdataka'!$J$3:$J$575)+SUMIF('Unos rashoda P4'!$T$3:$T$501,'A.4 RASHODI FUNK'!$A48,'Unos rashoda P4'!$H$3:$H$501)</f>
        <v>0</v>
      </c>
      <c r="D48" s="322">
        <f>SUMIF('Unos rashoda i izdataka'!$R$3:$R$575,'A.4 RASHODI FUNK'!$A48,'Unos rashoda i izdataka'!$K$3:$K$575)+SUMIF('Unos rashoda P4'!$T$3:$T$501,'A.4 RASHODI FUNK'!$A48,'Unos rashoda P4'!$I$3:$I$501)</f>
        <v>0</v>
      </c>
      <c r="E48" s="322">
        <f>SUMIF('Unos rashoda i izdataka'!$R$3:$R$575,'A.4 RASHODI FUNK'!$A48,'Unos rashoda i izdataka'!$L$3:$L$575)+SUMIF('Unos rashoda P4'!$T$3:$T$501,'A.4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izdataka'!$R$3:$R$575,'A.4 RASHODI FUNK'!$A49,'Unos rashoda i izdataka'!$J$3:$J$575)+SUMIF('Unos rashoda P4'!$T$3:$T$501,'A.4 RASHODI FUNK'!$A49,'Unos rashoda P4'!$H$3:$H$501)</f>
        <v>0</v>
      </c>
      <c r="D49" s="322">
        <f>SUMIF('Unos rashoda i izdataka'!$R$3:$R$575,'A.4 RASHODI FUNK'!$A49,'Unos rashoda i izdataka'!$K$3:$K$575)+SUMIF('Unos rashoda P4'!$T$3:$T$501,'A.4 RASHODI FUNK'!$A49,'Unos rashoda P4'!$I$3:$I$501)</f>
        <v>0</v>
      </c>
      <c r="E49" s="322">
        <f>SUMIF('Unos rashoda i izdataka'!$R$3:$R$575,'A.4 RASHODI FUNK'!$A49,'Unos rashoda i izdataka'!$L$3:$L$575)+SUMIF('Unos rashoda P4'!$T$3:$T$501,'A.4 RASHODI FUNK'!$A49,'Unos rashoda P4'!$J$3:$J$501)</f>
        <v>0</v>
      </c>
    </row>
    <row r="50" spans="1:5" ht="25.5">
      <c r="A50" s="315">
        <v>65</v>
      </c>
      <c r="B50" s="43" t="s">
        <v>5223</v>
      </c>
      <c r="C50" s="322">
        <f>SUMIF('Unos rashoda i izdataka'!$R$3:$R$575,'A.4 RASHODI FUNK'!$A50,'Unos rashoda i izdataka'!$J$3:$J$575)+SUMIF('Unos rashoda P4'!$T$3:$T$501,'A.4 RASHODI FUNK'!$A50,'Unos rashoda P4'!$H$3:$H$501)</f>
        <v>0</v>
      </c>
      <c r="D50" s="322">
        <f>SUMIF('Unos rashoda i izdataka'!$R$3:$R$575,'A.4 RASHODI FUNK'!$A50,'Unos rashoda i izdataka'!$K$3:$K$575)+SUMIF('Unos rashoda P4'!$T$3:$T$501,'A.4 RASHODI FUNK'!$A50,'Unos rashoda P4'!$I$3:$I$501)</f>
        <v>0</v>
      </c>
      <c r="E50" s="322">
        <f>SUMIF('Unos rashoda i izdataka'!$R$3:$R$575,'A.4 RASHODI FUNK'!$A50,'Unos rashoda i izdataka'!$L$3:$L$575)+SUMIF('Unos rashoda P4'!$T$3:$T$501,'A.4 RASHODI FUNK'!$A50,'Unos rashoda P4'!$J$3:$J$501)</f>
        <v>0</v>
      </c>
    </row>
    <row r="51" spans="1:5" ht="25.5">
      <c r="A51" s="315">
        <v>66</v>
      </c>
      <c r="B51" s="43" t="s">
        <v>5224</v>
      </c>
      <c r="C51" s="322">
        <f>SUMIF('Unos rashoda i izdataka'!$R$3:$R$575,'A.4 RASHODI FUNK'!$A51,'Unos rashoda i izdataka'!$J$3:$J$575)+SUMIF('Unos rashoda P4'!$T$3:$T$501,'A.4 RASHODI FUNK'!$A51,'Unos rashoda P4'!$H$3:$H$501)</f>
        <v>0</v>
      </c>
      <c r="D51" s="322">
        <f>SUMIF('Unos rashoda i izdataka'!$R$3:$R$575,'A.4 RASHODI FUNK'!$A51,'Unos rashoda i izdataka'!$K$3:$K$575)+SUMIF('Unos rashoda P4'!$T$3:$T$501,'A.4 RASHODI FUNK'!$A51,'Unos rashoda P4'!$I$3:$I$501)</f>
        <v>0</v>
      </c>
      <c r="E51" s="322">
        <f>SUMIF('Unos rashoda i izdataka'!$R$3:$R$575,'A.4 RASHODI FUNK'!$A51,'Unos rashoda i izdataka'!$L$3:$L$575)+SUMIF('Unos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izdataka'!$R$3:$R$575,'A.4 RASHODI FUNK'!$A53,'Unos rashoda i izdataka'!$J$3:$J$575)+SUMIF('Unos rashoda P4'!$T$3:$T$501,'A.4 RASHODI FUNK'!$A53,'Unos rashoda P4'!$H$3:$H$501)</f>
        <v>0</v>
      </c>
      <c r="D53" s="322">
        <f>SUMIF('Unos rashoda i izdataka'!$R$3:$R$575,'A.4 RASHODI FUNK'!$A53,'Unos rashoda i izdataka'!$K$3:$K$575)+SUMIF('Unos rashoda P4'!$T$3:$T$501,'A.4 RASHODI FUNK'!$A53,'Unos rashoda P4'!$I$3:$I$501)</f>
        <v>0</v>
      </c>
      <c r="E53" s="322">
        <f>SUMIF('Unos rashoda i izdataka'!$R$3:$R$575,'A.4 RASHODI FUNK'!$A53,'Unos rashoda i izdataka'!$L$3:$L$575)+SUMIF('Unos rashoda P4'!$T$3:$T$501,'A.4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izdataka'!$R$3:$R$575,'A.4 RASHODI FUNK'!$A54,'Unos rashoda i izdataka'!$J$3:$J$575)+SUMIF('Unos rashoda P4'!$T$3:$T$501,'A.4 RASHODI FUNK'!$A54,'Unos rashoda P4'!$H$3:$H$501)</f>
        <v>0</v>
      </c>
      <c r="D54" s="322">
        <f>SUMIF('Unos rashoda i izdataka'!$R$3:$R$575,'A.4 RASHODI FUNK'!$A54,'Unos rashoda i izdataka'!$K$3:$K$575)+SUMIF('Unos rashoda P4'!$T$3:$T$501,'A.4 RASHODI FUNK'!$A54,'Unos rashoda P4'!$I$3:$I$501)</f>
        <v>0</v>
      </c>
      <c r="E54" s="322">
        <f>SUMIF('Unos rashoda i izdataka'!$R$3:$R$575,'A.4 RASHODI FUNK'!$A54,'Unos rashoda i izdataka'!$L$3:$L$575)+SUMIF('Unos rashoda P4'!$T$3:$T$501,'A.4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izdataka'!$R$3:$R$575,'A.4 RASHODI FUNK'!$A55,'Unos rashoda i izdataka'!$J$3:$J$575)+SUMIF('Unos rashoda P4'!$T$3:$T$501,'A.4 RASHODI FUNK'!$A55,'Unos rashoda P4'!$H$3:$H$501)</f>
        <v>0</v>
      </c>
      <c r="D55" s="322">
        <f>SUMIF('Unos rashoda i izdataka'!$R$3:$R$575,'A.4 RASHODI FUNK'!$A55,'Unos rashoda i izdataka'!$K$3:$K$575)+SUMIF('Unos rashoda P4'!$T$3:$T$501,'A.4 RASHODI FUNK'!$A55,'Unos rashoda P4'!$I$3:$I$501)</f>
        <v>0</v>
      </c>
      <c r="E55" s="322">
        <f>SUMIF('Unos rashoda i izdataka'!$R$3:$R$575,'A.4 RASHODI FUNK'!$A55,'Unos rashoda i izdataka'!$L$3:$L$575)+SUMIF('Unos rashoda P4'!$T$3:$T$501,'A.4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izdataka'!$R$3:$R$575,'A.4 RASHODI FUNK'!$A56,'Unos rashoda i izdataka'!$J$3:$J$575)+SUMIF('Unos rashoda P4'!$T$3:$T$501,'A.4 RASHODI FUNK'!$A56,'Unos rashoda P4'!$H$3:$H$501)</f>
        <v>0</v>
      </c>
      <c r="D56" s="322">
        <f>SUMIF('Unos rashoda i izdataka'!$R$3:$R$575,'A.4 RASHODI FUNK'!$A56,'Unos rashoda i izdataka'!$K$3:$K$575)+SUMIF('Unos rashoda P4'!$T$3:$T$501,'A.4 RASHODI FUNK'!$A56,'Unos rashoda P4'!$I$3:$I$501)</f>
        <v>0</v>
      </c>
      <c r="E56" s="322">
        <f>SUMIF('Unos rashoda i izdataka'!$R$3:$R$575,'A.4 RASHODI FUNK'!$A56,'Unos rashoda i izdataka'!$L$3:$L$575)+SUMIF('Unos rashoda P4'!$T$3:$T$501,'A.4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izdataka'!$R$3:$R$575,'A.4 RASHODI FUNK'!$A57,'Unos rashoda i izdataka'!$J$3:$J$575)+SUMIF('Unos rashoda P4'!$T$3:$T$501,'A.4 RASHODI FUNK'!$A57,'Unos rashoda P4'!$H$3:$H$501)</f>
        <v>0</v>
      </c>
      <c r="D57" s="322">
        <f>SUMIF('Unos rashoda i izdataka'!$R$3:$R$575,'A.4 RASHODI FUNK'!$A57,'Unos rashoda i izdataka'!$K$3:$K$575)+SUMIF('Unos rashoda P4'!$T$3:$T$501,'A.4 RASHODI FUNK'!$A57,'Unos rashoda P4'!$I$3:$I$501)</f>
        <v>0</v>
      </c>
      <c r="E57" s="322">
        <f>SUMIF('Unos rashoda i izdataka'!$R$3:$R$575,'A.4 RASHODI FUNK'!$A57,'Unos rashoda i izdataka'!$L$3:$L$575)+SUMIF('Unos rashoda P4'!$T$3:$T$501,'A.4 RASHODI FUNK'!$A57,'Unos rashoda P4'!$J$3:$J$501)</f>
        <v>0</v>
      </c>
    </row>
    <row r="58" spans="1:5" ht="25.5">
      <c r="A58" s="315">
        <v>76</v>
      </c>
      <c r="B58" s="43" t="s">
        <v>5231</v>
      </c>
      <c r="C58" s="322">
        <f>SUMIF('Unos rashoda i izdataka'!$R$3:$R$575,'A.4 RASHODI FUNK'!$A58,'Unos rashoda i izdataka'!$J$3:$J$575)+SUMIF('Unos rashoda P4'!$T$3:$T$501,'A.4 RASHODI FUNK'!$A58,'Unos rashoda P4'!$H$3:$H$501)</f>
        <v>0</v>
      </c>
      <c r="D58" s="322">
        <f>SUMIF('Unos rashoda i izdataka'!$R$3:$R$575,'A.4 RASHODI FUNK'!$A58,'Unos rashoda i izdataka'!$K$3:$K$575)+SUMIF('Unos rashoda P4'!$T$3:$T$501,'A.4 RASHODI FUNK'!$A58,'Unos rashoda P4'!$I$3:$I$501)</f>
        <v>0</v>
      </c>
      <c r="E58" s="322">
        <f>SUMIF('Unos rashoda i izdataka'!$R$3:$R$575,'A.4 RASHODI FUNK'!$A58,'Unos rashoda i izdataka'!$L$3:$L$575)+SUMIF('Unos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izdataka'!$R$3:$R$575,'A.4 RASHODI FUNK'!$A60,'Unos rashoda i izdataka'!$J$3:$J$575)+SUMIF('Unos rashoda P4'!$T$3:$T$501,'A.4 RASHODI FUNK'!$A60,'Unos rashoda P4'!$H$3:$H$501)</f>
        <v>0</v>
      </c>
      <c r="D60" s="322">
        <f>SUMIF('Unos rashoda i izdataka'!$R$3:$R$575,'A.4 RASHODI FUNK'!$A60,'Unos rashoda i izdataka'!$K$3:$K$575)+SUMIF('Unos rashoda P4'!$T$3:$T$501,'A.4 RASHODI FUNK'!$A60,'Unos rashoda P4'!$I$3:$I$501)</f>
        <v>0</v>
      </c>
      <c r="E60" s="322">
        <f>SUMIF('Unos rashoda i izdataka'!$R$3:$R$575,'A.4 RASHODI FUNK'!$A60,'Unos rashoda i izdataka'!$L$3:$L$575)+SUMIF('Unos rashoda P4'!$T$3:$T$501,'A.4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izdataka'!$R$3:$R$575,'A.4 RASHODI FUNK'!$A61,'Unos rashoda i izdataka'!$J$3:$J$575)+SUMIF('Unos rashoda P4'!$T$3:$T$501,'A.4 RASHODI FUNK'!$A61,'Unos rashoda P4'!$H$3:$H$501)</f>
        <v>0</v>
      </c>
      <c r="D61" s="322">
        <f>SUMIF('Unos rashoda i izdataka'!$R$3:$R$575,'A.4 RASHODI FUNK'!$A61,'Unos rashoda i izdataka'!$K$3:$K$575)+SUMIF('Unos rashoda P4'!$T$3:$T$501,'A.4 RASHODI FUNK'!$A61,'Unos rashoda P4'!$I$3:$I$501)</f>
        <v>0</v>
      </c>
      <c r="E61" s="322">
        <f>SUMIF('Unos rashoda i izdataka'!$R$3:$R$575,'A.4 RASHODI FUNK'!$A61,'Unos rashoda i izdataka'!$L$3:$L$575)+SUMIF('Unos rashoda P4'!$T$3:$T$501,'A.4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izdataka'!$R$3:$R$575,'A.4 RASHODI FUNK'!$A62,'Unos rashoda i izdataka'!$J$3:$J$575)+SUMIF('Unos rashoda P4'!$T$3:$T$501,'A.4 RASHODI FUNK'!$A62,'Unos rashoda P4'!$H$3:$H$501)</f>
        <v>0</v>
      </c>
      <c r="D62" s="322">
        <f>SUMIF('Unos rashoda i izdataka'!$R$3:$R$575,'A.4 RASHODI FUNK'!$A62,'Unos rashoda i izdataka'!$K$3:$K$575)+SUMIF('Unos rashoda P4'!$T$3:$T$501,'A.4 RASHODI FUNK'!$A62,'Unos rashoda P4'!$I$3:$I$501)</f>
        <v>0</v>
      </c>
      <c r="E62" s="322">
        <f>SUMIF('Unos rashoda i izdataka'!$R$3:$R$575,'A.4 RASHODI FUNK'!$A62,'Unos rashoda i izdataka'!$L$3:$L$575)+SUMIF('Unos rashoda P4'!$T$3:$T$501,'A.4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izdataka'!$R$3:$R$575,'A.4 RASHODI FUNK'!$A63,'Unos rashoda i izdataka'!$J$3:$J$575)+SUMIF('Unos rashoda P4'!$T$3:$T$501,'A.4 RASHODI FUNK'!$A63,'Unos rashoda P4'!$H$3:$H$501)</f>
        <v>0</v>
      </c>
      <c r="D63" s="322">
        <f>SUMIF('Unos rashoda i izdataka'!$R$3:$R$575,'A.4 RASHODI FUNK'!$A63,'Unos rashoda i izdataka'!$K$3:$K$575)+SUMIF('Unos rashoda P4'!$T$3:$T$501,'A.4 RASHODI FUNK'!$A63,'Unos rashoda P4'!$I$3:$I$501)</f>
        <v>0</v>
      </c>
      <c r="E63" s="322">
        <f>SUMIF('Unos rashoda i izdataka'!$R$3:$R$575,'A.4 RASHODI FUNK'!$A63,'Unos rashoda i izdataka'!$L$3:$L$575)+SUMIF('Unos rashoda P4'!$T$3:$T$501,'A.4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izdataka'!$R$3:$R$575,'A.4 RASHODI FUNK'!$A64,'Unos rashoda i izdataka'!$J$3:$J$575)+SUMIF('Unos rashoda P4'!$T$3:$T$501,'A.4 RASHODI FUNK'!$A64,'Unos rashoda P4'!$H$3:$H$501)</f>
        <v>0</v>
      </c>
      <c r="D64" s="322">
        <f>SUMIF('Unos rashoda i izdataka'!$R$3:$R$575,'A.4 RASHODI FUNK'!$A64,'Unos rashoda i izdataka'!$K$3:$K$575)+SUMIF('Unos rashoda P4'!$T$3:$T$501,'A.4 RASHODI FUNK'!$A64,'Unos rashoda P4'!$I$3:$I$501)</f>
        <v>0</v>
      </c>
      <c r="E64" s="322">
        <f>SUMIF('Unos rashoda i izdataka'!$R$3:$R$575,'A.4 RASHODI FUNK'!$A64,'Unos rashoda i izdataka'!$L$3:$L$575)+SUMIF('Unos rashoda P4'!$T$3:$T$501,'A.4 RASHODI FUNK'!$A64,'Unos rashoda P4'!$J$3:$J$501)</f>
        <v>0</v>
      </c>
    </row>
    <row r="65" spans="1:5" ht="25.5">
      <c r="A65" s="315">
        <v>86</v>
      </c>
      <c r="B65" s="43" t="s">
        <v>5237</v>
      </c>
      <c r="C65" s="322">
        <f>SUMIF('Unos rashoda i izdataka'!$R$3:$R$575,'A.4 RASHODI FUNK'!$A65,'Unos rashoda i izdataka'!$J$3:$J$575)+SUMIF('Unos rashoda P4'!$T$3:$T$501,'A.4 RASHODI FUNK'!$A65,'Unos rashoda P4'!$H$3:$H$501)</f>
        <v>0</v>
      </c>
      <c r="D65" s="322">
        <f>SUMIF('Unos rashoda i izdataka'!$R$3:$R$575,'A.4 RASHODI FUNK'!$A65,'Unos rashoda i izdataka'!$K$3:$K$575)+SUMIF('Unos rashoda P4'!$T$3:$T$501,'A.4 RASHODI FUNK'!$A65,'Unos rashoda P4'!$I$3:$I$501)</f>
        <v>0</v>
      </c>
      <c r="E65" s="322">
        <f>SUMIF('Unos rashoda i izdataka'!$R$3:$R$575,'A.4 RASHODI FUNK'!$A65,'Unos rashoda i izdataka'!$L$3:$L$575)+SUMIF('Unos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3048892.4800000004</v>
      </c>
      <c r="D66" s="330">
        <f>SUM(D67:D74)</f>
        <v>3450551.1929176189</v>
      </c>
      <c r="E66" s="330">
        <f>SUM(E67:E74)</f>
        <v>3069973.4</v>
      </c>
    </row>
    <row r="67" spans="1:5">
      <c r="A67" s="315">
        <v>91</v>
      </c>
      <c r="B67" s="43" t="s">
        <v>5239</v>
      </c>
      <c r="C67" s="322">
        <f>SUMIF('Unos rashoda i izdataka'!$R$3:$R$575,'A.4 RASHODI FUNK'!$A67,'Unos rashoda i izdataka'!$J$3:$J$575)+SUMIF('Unos rashoda P4'!$T$3:$T$501,'A.4 RASHODI FUNK'!$A67,'Unos rashoda P4'!$H$3:$H$501)</f>
        <v>0</v>
      </c>
      <c r="D67" s="322">
        <f>SUMIF('Unos rashoda i izdataka'!$R$3:$R$575,'A.4 RASHODI FUNK'!$A67,'Unos rashoda i izdataka'!$K$3:$K$575)+SUMIF('Unos rashoda P4'!$T$3:$T$501,'A.4 RASHODI FUNK'!$A67,'Unos rashoda P4'!$I$3:$I$501)</f>
        <v>0</v>
      </c>
      <c r="E67" s="322">
        <f>SUMIF('Unos rashoda i izdataka'!$R$3:$R$575,'A.4 RASHODI FUNK'!$A67,'Unos rashoda i izdataka'!$L$3:$L$575)+SUMIF('Unos rashoda P4'!$T$3:$T$501,'A.4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izdataka'!$R$3:$R$575,'A.4 RASHODI FUNK'!$A68,'Unos rashoda i izdataka'!$J$3:$J$575)+SUMIF('Unos rashoda P4'!$T$3:$T$501,'A.4 RASHODI FUNK'!$A68,'Unos rashoda P4'!$H$3:$H$501)</f>
        <v>0</v>
      </c>
      <c r="D68" s="322">
        <f>SUMIF('Unos rashoda i izdataka'!$R$3:$R$575,'A.4 RASHODI FUNK'!$A68,'Unos rashoda i izdataka'!$K$3:$K$575)+SUMIF('Unos rashoda P4'!$T$3:$T$501,'A.4 RASHODI FUNK'!$A68,'Unos rashoda P4'!$I$3:$I$501)</f>
        <v>0</v>
      </c>
      <c r="E68" s="322">
        <f>SUMIF('Unos rashoda i izdataka'!$R$3:$R$575,'A.4 RASHODI FUNK'!$A68,'Unos rashoda i izdataka'!$L$3:$L$575)+SUMIF('Unos rashoda P4'!$T$3:$T$501,'A.4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izdataka'!$R$3:$R$575,'A.4 RASHODI FUNK'!$A69,'Unos rashoda i izdataka'!$J$3:$J$575)+SUMIF('Unos rashoda P4'!$T$3:$T$501,'A.4 RASHODI FUNK'!$A69,'Unos rashoda P4'!$H$3:$H$501)</f>
        <v>0</v>
      </c>
      <c r="D69" s="322">
        <f>SUMIF('Unos rashoda i izdataka'!$R$3:$R$575,'A.4 RASHODI FUNK'!$A69,'Unos rashoda i izdataka'!$K$3:$K$575)+SUMIF('Unos rashoda P4'!$T$3:$T$501,'A.4 RASHODI FUNK'!$A69,'Unos rashoda P4'!$I$3:$I$501)</f>
        <v>0</v>
      </c>
      <c r="E69" s="322">
        <f>SUMIF('Unos rashoda i izdataka'!$R$3:$R$575,'A.4 RASHODI FUNK'!$A69,'Unos rashoda i izdataka'!$L$3:$L$575)+SUMIF('Unos rashoda P4'!$T$3:$T$501,'A.4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izdataka'!$R$3:$R$575,'A.4 RASHODI FUNK'!$A70,'Unos rashoda i izdataka'!$J$3:$J$575)+SUMIF('Unos rashoda P4'!$T$3:$T$501,'A.4 RASHODI FUNK'!$A70,'Unos rashoda P4'!$H$3:$H$501)</f>
        <v>3048892.4800000004</v>
      </c>
      <c r="D70" s="322">
        <f>SUMIF('Unos rashoda i izdataka'!$R$3:$R$575,'A.4 RASHODI FUNK'!$A70,'Unos rashoda i izdataka'!$K$3:$K$575)+SUMIF('Unos rashoda P4'!$T$3:$T$501,'A.4 RASHODI FUNK'!$A70,'Unos rashoda P4'!$I$3:$I$501)</f>
        <v>3383986.1929176189</v>
      </c>
      <c r="E70" s="322">
        <f>SUMIF('Unos rashoda i izdataka'!$R$3:$R$575,'A.4 RASHODI FUNK'!$A70,'Unos rashoda i izdataka'!$L$3:$L$575)+SUMIF('Unos rashoda P4'!$T$3:$T$501,'A.4 RASHODI FUNK'!$A70,'Unos rashoda P4'!$J$3:$J$501)</f>
        <v>3031269.67</v>
      </c>
    </row>
    <row r="71" spans="1:5">
      <c r="A71" s="315">
        <v>95</v>
      </c>
      <c r="B71" s="43" t="s">
        <v>5163</v>
      </c>
      <c r="C71" s="322">
        <f>SUMIF('Unos rashoda i izdataka'!$R$3:$R$575,'A.4 RASHODI FUNK'!$A71,'Unos rashoda i izdataka'!$J$3:$J$575)+SUMIF('Unos rashoda P4'!$T$3:$T$501,'A.4 RASHODI FUNK'!$A71,'Unos rashoda P4'!$H$3:$H$501)</f>
        <v>0</v>
      </c>
      <c r="D71" s="322">
        <f>SUMIF('Unos rashoda i izdataka'!$R$3:$R$575,'A.4 RASHODI FUNK'!$A71,'Unos rashoda i izdataka'!$K$3:$K$575)+SUMIF('Unos rashoda P4'!$T$3:$T$501,'A.4 RASHODI FUNK'!$A71,'Unos rashoda P4'!$I$3:$I$501)</f>
        <v>0</v>
      </c>
      <c r="E71" s="322">
        <f>SUMIF('Unos rashoda i izdataka'!$R$3:$R$575,'A.4 RASHODI FUNK'!$A71,'Unos rashoda i izdataka'!$L$3:$L$575)+SUMIF('Unos rashoda P4'!$T$3:$T$501,'A.4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izdataka'!$R$3:$R$575,'A.4 RASHODI FUNK'!$A72,'Unos rashoda i izdataka'!$J$3:$J$575)+SUMIF('Unos rashoda P4'!$T$3:$T$501,'A.4 RASHODI FUNK'!$A72,'Unos rashoda P4'!$H$3:$H$501)</f>
        <v>0</v>
      </c>
      <c r="D72" s="322">
        <f>SUMIF('Unos rashoda i izdataka'!$R$3:$R$575,'A.4 RASHODI FUNK'!$A72,'Unos rashoda i izdataka'!$K$3:$K$575)+SUMIF('Unos rashoda P4'!$T$3:$T$501,'A.4 RASHODI FUNK'!$A72,'Unos rashoda P4'!$I$3:$I$501)</f>
        <v>0</v>
      </c>
      <c r="E72" s="322">
        <f>SUMIF('Unos rashoda i izdataka'!$R$3:$R$575,'A.4 RASHODI FUNK'!$A72,'Unos rashoda i izdataka'!$L$3:$L$575)+SUMIF('Unos rashoda P4'!$T$3:$T$501,'A.4 RASHODI FUNK'!$A72,'Unos rashoda P4'!$J$3:$J$501)</f>
        <v>0</v>
      </c>
    </row>
    <row r="73" spans="1:5">
      <c r="A73" s="315">
        <v>97</v>
      </c>
      <c r="B73" s="43" t="s">
        <v>5147</v>
      </c>
      <c r="C73" s="322">
        <f>SUMIF('Unos rashoda i izdataka'!$R$3:$R$575,'A.4 RASHODI FUNK'!$A73,'Unos rashoda i izdataka'!$J$3:$J$575)+SUMIF('Unos rashoda P4'!$T$3:$T$501,'A.4 RASHODI FUNK'!$A73,'Unos rashoda P4'!$H$3:$H$501)</f>
        <v>0</v>
      </c>
      <c r="D73" s="322">
        <f>SUMIF('Unos rashoda i izdataka'!$R$3:$R$575,'A.4 RASHODI FUNK'!$A73,'Unos rashoda i izdataka'!$K$3:$K$575)+SUMIF('Unos rashoda P4'!$T$3:$T$501,'A.4 RASHODI FUNK'!$A73,'Unos rashoda P4'!$I$3:$I$501)</f>
        <v>66565</v>
      </c>
      <c r="E73" s="322">
        <f>SUMIF('Unos rashoda i izdataka'!$R$3:$R$575,'A.4 RASHODI FUNK'!$A73,'Unos rashoda i izdataka'!$L$3:$L$575)+SUMIF('Unos rashoda P4'!$T$3:$T$501,'A.4 RASHODI FUNK'!$A73,'Unos rashoda P4'!$J$3:$J$501)</f>
        <v>38703.730000000003</v>
      </c>
    </row>
    <row r="74" spans="1:5">
      <c r="A74" s="315">
        <v>98</v>
      </c>
      <c r="B74" s="43" t="s">
        <v>5149</v>
      </c>
      <c r="C74" s="322">
        <f>SUMIF('Unos rashoda i izdataka'!$R$3:$R$575,'A.4 RASHODI FUNK'!$A74,'Unos rashoda i izdataka'!$J$3:$J$575)+SUMIF('Unos rashoda P4'!$T$3:$T$501,'A.4 RASHODI FUNK'!$A74,'Unos rashoda P4'!$H$3:$H$501)</f>
        <v>0</v>
      </c>
      <c r="D74" s="322">
        <f>SUMIF('Unos rashoda i izdataka'!$R$3:$R$575,'A.4 RASHODI FUNK'!$A74,'Unos rashoda i izdataka'!$K$3:$K$575)+SUMIF('Unos rashoda P4'!$T$3:$T$501,'A.4 RASHODI FUNK'!$A74,'Unos rashoda P4'!$I$3:$I$501)</f>
        <v>0</v>
      </c>
      <c r="E74" s="322">
        <f>SUMIF('Unos rashoda i izdataka'!$R$3:$R$575,'A.4 RASHODI FUNK'!$A74,'Unos rashoda i izdataka'!$L$3:$L$575)+SUMIF('Unos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izdataka'!$R$3:$R$575,'A.4 RASHODI FUNK'!$A76,'Unos rashoda i izdataka'!$J$3:$J$575)+SUMIF('Unos rashoda P4'!$T$3:$T$501,'A.4 RASHODI FUNK'!$A76,'Unos rashoda P4'!$H$3:$H$501)</f>
        <v>0</v>
      </c>
      <c r="D76" s="322">
        <f>SUMIF('Unos rashoda i izdataka'!$R$3:$R$575,'A.4 RASHODI FUNK'!$A76,'Unos rashoda i izdataka'!$K$3:$K$575)+SUMIF('Unos rashoda P4'!$T$3:$T$501,'A.4 RASHODI FUNK'!$A76,'Unos rashoda P4'!$I$3:$I$501)</f>
        <v>0</v>
      </c>
      <c r="E76" s="322">
        <f>SUMIF('Unos rashoda i izdataka'!$R$3:$R$575,'A.4 RASHODI FUNK'!$A76,'Unos rashoda i izdataka'!$L$3:$L$575)+SUMIF('Unos rashoda P4'!$T$3:$T$501,'A.4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izdataka'!$R$3:$R$575,'A.4 RASHODI FUNK'!$A77,'Unos rashoda i izdataka'!$J$3:$J$575)+SUMIF('Unos rashoda P4'!$T$3:$T$501,'A.4 RASHODI FUNK'!$A77,'Unos rashoda P4'!$H$3:$H$501)</f>
        <v>0</v>
      </c>
      <c r="D77" s="322">
        <f>SUMIF('Unos rashoda i izdataka'!$R$3:$R$575,'A.4 RASHODI FUNK'!$A77,'Unos rashoda i izdataka'!$K$3:$K$575)+SUMIF('Unos rashoda P4'!$T$3:$T$501,'A.4 RASHODI FUNK'!$A77,'Unos rashoda P4'!$I$3:$I$501)</f>
        <v>0</v>
      </c>
      <c r="E77" s="322">
        <f>SUMIF('Unos rashoda i izdataka'!$R$3:$R$575,'A.4 RASHODI FUNK'!$A77,'Unos rashoda i izdataka'!$L$3:$L$575)+SUMIF('Unos rashoda P4'!$T$3:$T$501,'A.4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izdataka'!$R$3:$R$575,'A.4 RASHODI FUNK'!$A78,'Unos rashoda i izdataka'!$J$3:$J$575)+SUMIF('Unos rashoda P4'!$T$3:$T$501,'A.4 RASHODI FUNK'!$A78,'Unos rashoda P4'!$H$3:$H$501)</f>
        <v>0</v>
      </c>
      <c r="D78" s="322">
        <f>SUMIF('Unos rashoda i izdataka'!$R$3:$R$575,'A.4 RASHODI FUNK'!$A78,'Unos rashoda i izdataka'!$K$3:$K$575)+SUMIF('Unos rashoda P4'!$T$3:$T$501,'A.4 RASHODI FUNK'!$A78,'Unos rashoda P4'!$I$3:$I$501)</f>
        <v>0</v>
      </c>
      <c r="E78" s="322">
        <f>SUMIF('Unos rashoda i izdataka'!$R$3:$R$575,'A.4 RASHODI FUNK'!$A78,'Unos rashoda i izdataka'!$L$3:$L$575)+SUMIF('Unos rashoda P4'!$T$3:$T$501,'A.4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izdataka'!$R$3:$R$575,'A.4 RASHODI FUNK'!$A79,'Unos rashoda i izdataka'!$J$3:$J$575)+SUMIF('Unos rashoda P4'!$T$3:$T$501,'A.4 RASHODI FUNK'!$A79,'Unos rashoda P4'!$H$3:$H$501)</f>
        <v>0</v>
      </c>
      <c r="D79" s="322">
        <f>SUMIF('Unos rashoda i izdataka'!$R$3:$R$575,'A.4 RASHODI FUNK'!$A79,'Unos rashoda i izdataka'!$K$3:$K$575)+SUMIF('Unos rashoda P4'!$T$3:$T$501,'A.4 RASHODI FUNK'!$A79,'Unos rashoda P4'!$I$3:$I$501)</f>
        <v>0</v>
      </c>
      <c r="E79" s="322">
        <f>SUMIF('Unos rashoda i izdataka'!$R$3:$R$575,'A.4 RASHODI FUNK'!$A79,'Unos rashoda i izdataka'!$L$3:$L$575)+SUMIF('Unos rashoda P4'!$T$3:$T$501,'A.4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izdataka'!$R$3:$R$575,'A.4 RASHODI FUNK'!$A80,'Unos rashoda i izdataka'!$J$3:$J$575)+SUMIF('Unos rashoda P4'!$T$3:$T$501,'A.4 RASHODI FUNK'!$A80,'Unos rashoda P4'!$H$3:$H$501)</f>
        <v>0</v>
      </c>
      <c r="D80" s="322">
        <f>SUMIF('Unos rashoda i izdataka'!$R$3:$R$575,'A.4 RASHODI FUNK'!$A80,'Unos rashoda i izdataka'!$K$3:$K$575)+SUMIF('Unos rashoda P4'!$T$3:$T$501,'A.4 RASHODI FUNK'!$A80,'Unos rashoda P4'!$I$3:$I$501)</f>
        <v>0</v>
      </c>
      <c r="E80" s="322">
        <f>SUMIF('Unos rashoda i izdataka'!$R$3:$R$575,'A.4 RASHODI FUNK'!$A80,'Unos rashoda i izdataka'!$L$3:$L$575)+SUMIF('Unos rashoda P4'!$T$3:$T$501,'A.4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izdataka'!$R$3:$R$575,'A.4 RASHODI FUNK'!$A81,'Unos rashoda i izdataka'!$J$3:$J$575)+SUMIF('Unos rashoda P4'!$T$3:$T$501,'A.4 RASHODI FUNK'!$A81,'Unos rashoda P4'!$H$3:$H$501)</f>
        <v>0</v>
      </c>
      <c r="D81" s="322">
        <f>SUMIF('Unos rashoda i izdataka'!$R$3:$R$575,'A.4 RASHODI FUNK'!$A81,'Unos rashoda i izdataka'!$K$3:$K$575)+SUMIF('Unos rashoda P4'!$T$3:$T$501,'A.4 RASHODI FUNK'!$A81,'Unos rashoda P4'!$I$3:$I$501)</f>
        <v>0</v>
      </c>
      <c r="E81" s="322">
        <f>SUMIF('Unos rashoda i izdataka'!$R$3:$R$575,'A.4 RASHODI FUNK'!$A81,'Unos rashoda i izdataka'!$L$3:$L$575)+SUMIF('Unos rashoda P4'!$T$3:$T$501,'A.4 RASHODI FUNK'!$A81,'Unos rashoda P4'!$J$3:$J$501)</f>
        <v>0</v>
      </c>
    </row>
    <row r="82" spans="1:5" ht="25.5">
      <c r="A82" s="315">
        <v>107</v>
      </c>
      <c r="B82" s="43" t="s">
        <v>5250</v>
      </c>
      <c r="C82" s="322">
        <f>SUMIF('Unos rashoda i izdataka'!$R$3:$R$575,'A.4 RASHODI FUNK'!$A82,'Unos rashoda i izdataka'!$J$3:$J$575)+SUMIF('Unos rashoda P4'!$T$3:$T$501,'A.4 RASHODI FUNK'!$A82,'Unos rashoda P4'!$H$3:$H$501)</f>
        <v>0</v>
      </c>
      <c r="D82" s="322">
        <f>SUMIF('Unos rashoda i izdataka'!$R$3:$R$575,'A.4 RASHODI FUNK'!$A82,'Unos rashoda i izdataka'!$K$3:$K$575)+SUMIF('Unos rashoda P4'!$T$3:$T$501,'A.4 RASHODI FUNK'!$A82,'Unos rashoda P4'!$I$3:$I$501)</f>
        <v>0</v>
      </c>
      <c r="E82" s="322">
        <f>SUMIF('Unos rashoda i izdataka'!$R$3:$R$575,'A.4 RASHODI FUNK'!$A82,'Unos rashoda i izdataka'!$L$3:$L$575)+SUMIF('Unos rashoda P4'!$T$3:$T$501,'A.4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izdataka'!$R$3:$R$575,'A.4 RASHODI FUNK'!$A83,'Unos rashoda i izdataka'!$J$3:$J$575)+SUMIF('Unos rashoda P4'!$T$3:$T$501,'A.4 RASHODI FUNK'!$A83,'Unos rashoda P4'!$H$3:$H$501)</f>
        <v>0</v>
      </c>
      <c r="D83" s="322">
        <f>SUMIF('Unos rashoda i izdataka'!$R$3:$R$575,'A.4 RASHODI FUNK'!$A83,'Unos rashoda i izdataka'!$K$3:$K$575)+SUMIF('Unos rashoda P4'!$T$3:$T$501,'A.4 RASHODI FUNK'!$A83,'Unos rashoda P4'!$I$3:$I$501)</f>
        <v>0</v>
      </c>
      <c r="E83" s="322">
        <f>SUMIF('Unos rashoda i izdataka'!$R$3:$R$575,'A.4 RASHODI FUNK'!$A83,'Unos rashoda i izdataka'!$L$3:$L$575)+SUMIF('Unos rashoda P4'!$T$3:$T$501,'A.4 RASHODI FUNK'!$A83,'Unos rashoda P4'!$J$3:$J$501)</f>
        <v>0</v>
      </c>
    </row>
    <row r="84" spans="1:5" ht="25.5">
      <c r="A84" s="315">
        <v>109</v>
      </c>
      <c r="B84" s="43" t="s">
        <v>5252</v>
      </c>
      <c r="C84" s="322">
        <f>SUMIF('Unos rashoda i izdataka'!$R$3:$R$575,'A.4 RASHODI FUNK'!$A84,'Unos rashoda i izdataka'!$J$3:$J$575)+SUMIF('Unos rashoda P4'!$T$3:$T$501,'A.4 RASHODI FUNK'!$A84,'Unos rashoda P4'!$H$3:$H$501)</f>
        <v>0</v>
      </c>
      <c r="D84" s="322">
        <f>SUMIF('Unos rashoda i izdataka'!$R$3:$R$575,'A.4 RASHODI FUNK'!$A84,'Unos rashoda i izdataka'!$K$3:$K$575)+SUMIF('Unos rashoda P4'!$T$3:$T$501,'A.4 RASHODI FUNK'!$A84,'Unos rashoda P4'!$I$3:$I$501)</f>
        <v>0</v>
      </c>
      <c r="E84" s="322">
        <f>SUMIF('Unos rashoda i izdataka'!$R$3:$R$575,'A.4 RASHODI FUNK'!$A84,'Unos rashoda i izdataka'!$L$3:$L$575)+SUMIF('Unos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topLeftCell="B1" zoomScale="115" zoomScaleNormal="115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55" t="s">
        <v>5109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56" t="s">
        <v>236</v>
      </c>
      <c r="B4" s="357"/>
      <c r="C4" s="358" t="s">
        <v>5268</v>
      </c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60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primitaka'!$G$3:$G$500,'Unos prihoda i primitaka'!$C$3:$C$500,"=43",'Unos prihoda i primitaka'!$L$3:$L$500,"=81")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primitaka'!$G$3:$G$500,'Unos prihoda i primitaka'!$C$3:$C$500,"=81",'Unos prihoda i primitaka'!$L$3:$L$500,"=81")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primitaka'!$G$3:$G$500,'Unos prihoda i primitaka'!$C$3:$C$500,"=43",'Unos prihoda i primitaka'!$L$3:$L$500,"=82")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primitaka'!$G$3:$G$500,'Unos prihoda i primitaka'!$C$3:$C$500,"=81",'Unos prihoda i primitaka'!$L$3:$L$500,"=82")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primitaka'!$G$3:$G$500,'Unos prihoda i primitaka'!$C$3:$C$500,"=43",'Unos prihoda i primitaka'!$L$3:$L$500,"=83")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primitaka'!$G$3:$G$500,'Unos prihoda i primitaka'!$C$3:$C$500,"=81",'Unos prihoda i primitaka'!$L$3:$L$500,"=83")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primitaka'!$G$3:$G$500,'Unos prihoda i primitaka'!$C$3:$C$500,"=43",'Unos prihoda i primitaka'!$L$3:$L$500,"=84")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primitaka'!$G$3:$G$500,'Unos prihoda i primitaka'!$C$3:$C$500,"=81",'Unos prihoda i primitaka'!$L$3:$L$500,"=84")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izdataka'!$J$3:$J$575,'Unos rashoda i izdataka'!$C$3:$C$575,"=11",'Unos rashoda i izdataka'!$P$3:$P$575,"=51")+SUMIFS('Unos rashoda P4'!$H$3:$H$501,'Unos rashoda P4'!$A$3:$A$501,"=11",'Unos rashoda P4'!$S$3:$S$501,"=51")</f>
        <v>0</v>
      </c>
      <c r="E12" s="74">
        <f>SUMIFS('Unos rashoda i izdataka'!$J$3:$J$575,'Unos rashoda i izdataka'!$C$3:$C$575,"=12",'Unos rashoda i izdataka'!$P$3:$P$575,"=51")+SUMIFS('Unos rashoda P4'!$H$3:$H$501,'Unos rashoda P4'!$A$3:$A$501,"=12",'Unos rashoda P4'!$S$3:$S$501,"=51")</f>
        <v>0</v>
      </c>
      <c r="F12" s="74">
        <f>SUMIFS('Unos rashoda i izdataka'!$J$3:$J$575,'Unos rashoda i izdataka'!$C$3:$C$575,"=31",'Unos rashoda i izdataka'!$P$3:$P$575,"=51")+SUMIFS('Unos rashoda P4'!$H$3:$H$501,'Unos rashoda P4'!$A$3:$A$501,"=31",'Unos rashoda P4'!$S$3:$S$501,"=51")</f>
        <v>0</v>
      </c>
      <c r="G12" s="74">
        <f>SUMIFS('Unos rashoda i izdataka'!$J$3:$J$575,'Unos rashoda i izdataka'!$C$3:$C$575,"=41",'Unos rashoda i izdataka'!$P$3:$P$575,"=51")+SUMIFS('Unos rashoda P4'!$H$3:$H$501,'Unos rashoda P4'!$A$3:$A$501,"=41",'Unos rashoda P4'!$S$3:$S$501,"=51")</f>
        <v>0</v>
      </c>
      <c r="H12" s="74">
        <f>SUMIFS('Unos rashoda i izdataka'!$J$3:$J$575,'Unos rashoda i izdataka'!$C$3:$C$575,"=43",'Unos rashoda i izdataka'!$P$3:$P$575,"=51")+SUMIFS('Unos rashoda P4'!$H$3:$H$501,'Unos rashoda P4'!$A$3:$A$501,"=43",'Unos rashoda P4'!$S$3:$S$501,"=51")</f>
        <v>0</v>
      </c>
      <c r="I12" s="74">
        <f>SUMIFS('Unos rashoda i izdataka'!$J$3:$J$575,'Unos rashoda i izdataka'!$C$3:$C$575,"=51",'Unos rashoda i izdataka'!$P$3:$P$575,"=51")+SUMIFS('Unos rashoda P4'!$H$3:$H$501,'Unos rashoda P4'!$A$3:$A$501,"=51",'Unos rashoda P4'!$S$3:$S$501,"=51")</f>
        <v>0</v>
      </c>
      <c r="J12" s="74">
        <f>SUMIFS('Unos rashoda i izdataka'!$J$3:$J$575,'Unos rashoda i izdataka'!$C$3:$C$575,"=52",'Unos rashoda i izdataka'!$P$3:$P$575,"=51")+SUMIFS('Unos rashoda P4'!$H$3:$H$501,'Unos rashoda P4'!$A$3:$A$501,"=52",'Unos rashoda P4'!$S$3:$S$501,"=51")</f>
        <v>0</v>
      </c>
      <c r="K12" s="74">
        <f>SUMIFS('Unos rashoda i izdataka'!$J$3:$J$575,'Unos rashoda i izdataka'!$C$3:$C$575,"=552",'Unos rashoda i izdataka'!$P$3:$P$575,"=51")+SUMIFS('Unos rashoda P4'!$H$3:$H$501,'Unos rashoda P4'!$A$3:$A$501,"=552",'Unos rashoda P4'!$S$3:$S$501,"=51")</f>
        <v>0</v>
      </c>
      <c r="L12" s="74">
        <f>SUMIFS('Unos rashoda i izdataka'!$J$3:$J$575,'Unos rashoda i izdataka'!$C$3:$C$575,"=559",'Unos rashoda i izdataka'!$P$3:$P$575,"=51")+SUMIFS('Unos rashoda P4'!$H$3:$H$501,'Unos rashoda P4'!$A$3:$A$501,"=559",'Unos rashoda P4'!$S$3:$S$501,"=51")</f>
        <v>0</v>
      </c>
      <c r="M12" s="74">
        <f>SUMIFS('Unos rashoda i izdataka'!$J$3:$J$575,'Unos rashoda i izdataka'!$C$3:$C$575,"=561",'Unos rashoda i izdataka'!$P$3:$P$575,"=51")+SUMIFS('Unos rashoda P4'!$H$3:$H$501,'Unos rashoda P4'!$A$3:$A$501,"=561",'Unos rashoda P4'!$S$3:$S$501,"=51")</f>
        <v>0</v>
      </c>
      <c r="N12" s="74">
        <f>SUMIFS('Unos rashoda i izdataka'!$J$3:$J$575,'Unos rashoda i izdataka'!$C$3:$C$575,"=563",'Unos rashoda i izdataka'!$P$3:$P$575,"=51")+SUMIFS('Unos rashoda P4'!$H$3:$H$501,'Unos rashoda P4'!$A$3:$A$501,"=563",'Unos rashoda P4'!$S$3:$S$501,"=51")</f>
        <v>0</v>
      </c>
      <c r="O12" s="74">
        <f>SUMIFS('Unos rashoda i izdataka'!$J$3:$J$575,'Unos rashoda i izdataka'!$C$3:$C$575,"=573",'Unos rashoda i izdataka'!$P$3:$P$575,"=51")+SUMIFS('Unos rashoda P4'!$H$3:$H$501,'Unos rashoda P4'!$A$3:$A$501,"=573",'Unos rashoda P4'!$S$3:$S$501,"=51")</f>
        <v>0</v>
      </c>
      <c r="P12" s="74">
        <f>SUMIFS('Unos rashoda i izdataka'!$J$3:$J$575,'Unos rashoda i izdataka'!$C$3:$C$575,"=575",'Unos rashoda i izdataka'!$P$3:$P$575,"=51")+SUMIFS('Unos rashoda P4'!$H$3:$H$501,'Unos rashoda P4'!$A$3:$A$501,"=575",'Unos rashoda P4'!$S$3:$S$501,"=51")</f>
        <v>0</v>
      </c>
      <c r="Q12" s="74">
        <f>SUMIFS('Unos rashoda i izdataka'!$J$3:$J$575,'Unos rashoda i izdataka'!$Q$3:$Q$575,"=576",'Unos rashoda i izdataka'!$P$3:$P$575,"=51")+SUMIFS('Unos rashoda P4'!$H$3:$H$501,'Unos rashoda P4'!$A$3:$A$501,"=576",'Unos rashoda P4'!$S$3:$S$501,"=51")</f>
        <v>0</v>
      </c>
      <c r="R12" s="74">
        <f>SUMIFS('Unos rashoda i izdataka'!$J$3:$J$575,'Unos rashoda i izdataka'!$C$3:$C$575,"=581",'Unos rashoda i izdataka'!$P$3:$P$575,"=51")+SUMIFS('Unos rashoda P4'!$H$3:$H$501,'Unos rashoda P4'!$A$3:$A$501,"=581",'Unos rashoda P4'!$S$3:$S$501,"=51")</f>
        <v>0</v>
      </c>
      <c r="S12" s="74">
        <f>SUMIFS('Unos rashoda i izdataka'!$J$3:$J$575,'Unos rashoda i izdataka'!$C$3:$C$575,"=61",'Unos rashoda i izdataka'!$P$3:$P$575,"=51")+SUMIFS('Unos rashoda P4'!$H$3:$H$501,'Unos rashoda P4'!$A$3:$A$501,"=61",'Unos rashoda P4'!$S$3:$S$501,"=51")</f>
        <v>0</v>
      </c>
      <c r="T12" s="74">
        <f>SUMIFS('Unos rashoda i izdataka'!$J$3:$J$575,'Unos rashoda i izdataka'!$C$3:$C$575,"=63",'Unos rashoda i izdataka'!$P$3:$P$575,"=51")+SUMIFS('Unos rashoda P4'!$H$3:$H$501,'Unos rashoda P4'!$A$3:$A$501,"=63",'Unos rashoda P4'!$S$3:$S$501,"=51")</f>
        <v>0</v>
      </c>
      <c r="U12" s="74">
        <f>SUMIFS('Unos rashoda i izdataka'!$J$3:$J$575,'Unos rashoda i izdataka'!$C$3:$C$575,"=71",'Unos rashoda i izdataka'!$P$3:$P$575,"=51")+SUMIFS('Unos rashoda P4'!$H$3:$H$501,'Unos rashoda P4'!$A$3:$A$501,"=71",'Unos rashoda P4'!$S$3:$S$501,"=51")</f>
        <v>0</v>
      </c>
      <c r="V12" s="74">
        <f>SUMIFS('Unos rashoda i izdataka'!$J$3:$J$575,'Unos rashoda i izdataka'!$C$3:$C$575,"=81",'Unos rashoda i izdataka'!$P$3:$P$575,"=51")+SUMIFS('Unos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izdataka'!$J$3:$J$575,'Unos rashoda i izdataka'!$C$3:$C$575,"=11",'Unos rashoda i izdataka'!$P$3:$P$575,"=54")+SUMIFS('Unos rashoda P4'!$H$3:$H$501,'Unos rashoda P4'!$A$3:$A$501,"=11",'Unos rashoda P4'!$S$3:$S$501,"=54")</f>
        <v>0</v>
      </c>
      <c r="E13" s="74">
        <f>SUMIFS('Unos rashoda i izdataka'!$J$3:$J$575,'Unos rashoda i izdataka'!$C$3:$C$575,"=12",'Unos rashoda i izdataka'!$P$3:$P$575,"=54")+SUMIFS('Unos rashoda P4'!$H$3:$H$501,'Unos rashoda P4'!$A$3:$A$501,"=12",'Unos rashoda P4'!$S$3:$S$501,"=54")</f>
        <v>0</v>
      </c>
      <c r="F13" s="74">
        <f>SUMIFS('Unos rashoda i izdataka'!$J$3:$J$575,'Unos rashoda i izdataka'!$C$3:$C$575,"=31",'Unos rashoda i izdataka'!$P$3:$P$575,"=54")+SUMIFS('Unos rashoda P4'!$H$3:$H$501,'Unos rashoda P4'!$A$3:$A$501,"=31",'Unos rashoda P4'!$S$3:$S$501,"=54")</f>
        <v>0</v>
      </c>
      <c r="G13" s="74">
        <f>SUMIFS('Unos rashoda i izdataka'!$J$3:$J$575,'Unos rashoda i izdataka'!$C$3:$C$575,"=41",'Unos rashoda i izdataka'!$P$3:$P$575,"=54")+SUMIFS('Unos rashoda P4'!$H$3:$H$501,'Unos rashoda P4'!$A$3:$A$501,"=41",'Unos rashoda P4'!$S$3:$S$501,"=54")</f>
        <v>0</v>
      </c>
      <c r="H13" s="74">
        <f>SUMIFS('Unos rashoda i izdataka'!$J$3:$J$575,'Unos rashoda i izdataka'!$C$3:$C$575,"=43",'Unos rashoda i izdataka'!$P$3:$P$575,"=54")+SUMIFS('Unos rashoda P4'!$H$3:$H$501,'Unos rashoda P4'!$A$3:$A$501,"=43",'Unos rashoda P4'!$S$3:$S$501,"=54")</f>
        <v>0</v>
      </c>
      <c r="I13" s="74">
        <f>SUMIFS('Unos rashoda i izdataka'!$J$3:$J$575,'Unos rashoda i izdataka'!$C$3:$C$575,"=51",'Unos rashoda i izdataka'!$P$3:$P$575,"=54")+SUMIFS('Unos rashoda P4'!$H$3:$H$501,'Unos rashoda P4'!$A$3:$A$501,"=51",'Unos rashoda P4'!$S$3:$S$501,"=54")</f>
        <v>0</v>
      </c>
      <c r="J13" s="74">
        <f>SUMIFS('Unos rashoda i izdataka'!$J$3:$J$575,'Unos rashoda i izdataka'!$C$3:$C$575,"=52",'Unos rashoda i izdataka'!$P$3:$P$575,"=54")+SUMIFS('Unos rashoda P4'!$H$3:$H$501,'Unos rashoda P4'!$A$3:$A$501,"=52",'Unos rashoda P4'!$S$3:$S$501,"=54")</f>
        <v>0</v>
      </c>
      <c r="K13" s="74">
        <f>SUMIFS('Unos rashoda i izdataka'!$J$3:$J$575,'Unos rashoda i izdataka'!$C$3:$C$575,"=552",'Unos rashoda i izdataka'!$P$3:$P$575,"=54")+SUMIFS('Unos rashoda P4'!$H$3:$H$501,'Unos rashoda P4'!$A$3:$A$501,"=552",'Unos rashoda P4'!$S$3:$S$501,"=54")</f>
        <v>0</v>
      </c>
      <c r="L13" s="74">
        <f>SUMIFS('Unos rashoda i izdataka'!$J$3:$J$575,'Unos rashoda i izdataka'!$C$3:$C$575,"=559",'Unos rashoda i izdataka'!$P$3:$P$575,"=54")+SUMIFS('Unos rashoda P4'!$H$3:$H$501,'Unos rashoda P4'!$A$3:$A$501,"=559",'Unos rashoda P4'!$S$3:$S$501,"=54")</f>
        <v>0</v>
      </c>
      <c r="M13" s="74">
        <f>SUMIFS('Unos rashoda i izdataka'!$J$3:$J$575,'Unos rashoda i izdataka'!$C$3:$C$575,"=561",'Unos rashoda i izdataka'!$P$3:$P$575,"=54")+SUMIFS('Unos rashoda P4'!$H$3:$H$501,'Unos rashoda P4'!$A$3:$A$501,"=561",'Unos rashoda P4'!$S$3:$S$501,"=54")</f>
        <v>0</v>
      </c>
      <c r="N13" s="74">
        <f>SUMIFS('Unos rashoda i izdataka'!$J$3:$J$575,'Unos rashoda i izdataka'!$C$3:$C$575,"=563",'Unos rashoda i izdataka'!$P$3:$P$575,"=54")+SUMIFS('Unos rashoda P4'!$H$3:$H$501,'Unos rashoda P4'!$A$3:$A$501,"=563",'Unos rashoda P4'!$S$3:$S$501,"=54")</f>
        <v>0</v>
      </c>
      <c r="O13" s="74">
        <f>SUMIFS('Unos rashoda i izdataka'!$J$3:$J$575,'Unos rashoda i izdataka'!$C$3:$C$575,"=573",'Unos rashoda i izdataka'!$P$3:$P$575,"=54")+SUMIFS('Unos rashoda P4'!$H$3:$H$501,'Unos rashoda P4'!$A$3:$A$501,"=573",'Unos rashoda P4'!$S$3:$S$501,"=54")</f>
        <v>0</v>
      </c>
      <c r="P13" s="74">
        <f>SUMIFS('Unos rashoda i izdataka'!$J$3:$J$575,'Unos rashoda i izdataka'!$C$3:$C$575,"=575",'Unos rashoda i izdataka'!$P$3:$P$575,"=54")+SUMIFS('Unos rashoda P4'!$H$3:$H$501,'Unos rashoda P4'!$A$3:$A$501,"=575",'Unos rashoda P4'!$S$3:$S$501,"=54")</f>
        <v>0</v>
      </c>
      <c r="Q13" s="74">
        <f>SUMIFS('Unos rashoda i izdataka'!$J$3:$J$575,'Unos rashoda i izdataka'!$Q$3:$Q$575,"=576",'Unos rashoda i izdataka'!$P$3:$P$575,"=54")+SUMIFS('Unos rashoda P4'!$H$3:$H$501,'Unos rashoda P4'!$A$3:$A$501,"=576",'Unos rashoda P4'!$S$3:$S$501,"=54")</f>
        <v>0</v>
      </c>
      <c r="R13" s="74">
        <f>SUMIFS('Unos rashoda i izdataka'!$J$3:$J$575,'Unos rashoda i izdataka'!$C$3:$C$575,"=581",'Unos rashoda i izdataka'!$P$3:$P$575,"=54")+SUMIFS('Unos rashoda P4'!$H$3:$H$501,'Unos rashoda P4'!$A$3:$A$501,"=581",'Unos rashoda P4'!$S$3:$S$501,"=54")</f>
        <v>0</v>
      </c>
      <c r="S13" s="74">
        <f>SUMIFS('Unos rashoda i izdataka'!$J$3:$J$575,'Unos rashoda i izdataka'!$C$3:$C$575,"=61",'Unos rashoda i izdataka'!$P$3:$P$575,"=54")+SUMIFS('Unos rashoda P4'!$H$3:$H$501,'Unos rashoda P4'!$A$3:$A$501,"=61",'Unos rashoda P4'!$S$3:$S$501,"=54")</f>
        <v>0</v>
      </c>
      <c r="T13" s="74">
        <f>SUMIFS('Unos rashoda i izdataka'!$J$3:$J$575,'Unos rashoda i izdataka'!$C$3:$C$575,"=63",'Unos rashoda i izdataka'!$P$3:$P$575,"=54")+SUMIFS('Unos rashoda P4'!$H$3:$H$501,'Unos rashoda P4'!$A$3:$A$501,"=63",'Unos rashoda P4'!$S$3:$S$501,"=54")</f>
        <v>0</v>
      </c>
      <c r="U13" s="74">
        <f>SUMIFS('Unos rashoda i izdataka'!$J$3:$J$575,'Unos rashoda i izdataka'!$C$3:$C$575,"=71",'Unos rashoda i izdataka'!$P$3:$P$575,"=54")+SUMIFS('Unos rashoda P4'!$H$3:$H$501,'Unos rashoda P4'!$A$3:$A$501,"=71",'Unos rashoda P4'!$S$3:$S$501,"=54")</f>
        <v>0</v>
      </c>
      <c r="V13" s="74">
        <f>SUMIFS('Unos rashoda i izdataka'!$J$3:$J$575,'Unos rashoda i izdataka'!$C$3:$C$575,"=81",'Unos rashoda i izdataka'!$P$3:$P$575,"=54")+SUMIFS('Unos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56" t="s">
        <v>236</v>
      </c>
      <c r="B15" s="357"/>
      <c r="C15" s="358" t="s">
        <v>5269</v>
      </c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60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primitaka'!$H$3:$H$500,'Unos prihoda i primitaka'!$C$3:$C$500,"=43",'Unos prihoda i primitaka'!$L$3:$L$500,"=81")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primitaka'!$H$3:$H$500,'Unos prihoda i primitaka'!$C$3:$C$500,"=81",'Unos prihoda i primitaka'!$L$3:$L$500,"=81")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primitaka'!$H$3:$H$500,'Unos prihoda i primitaka'!$C$3:$C$500,"=43",'Unos prihoda i primitaka'!$L$3:$L$500,"=82")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primitaka'!$H$3:$H$500,'Unos prihoda i primitaka'!$C$3:$C$500,"=81",'Unos prihoda i primitaka'!$L$3:$L$500,"=82")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primitaka'!$H$3:$H$500,'Unos prihoda i primitaka'!$C$3:$C$500,"=43",'Unos prihoda i primitaka'!$L$3:$L$500,"=83")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primitaka'!$H$3:$H$500,'Unos prihoda i primitaka'!$C$3:$C$500,"=81",'Unos prihoda i primitaka'!$L$3:$L$500,"=83")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primitaka'!$H$3:$H$500,'Unos prihoda i primitaka'!$C$3:$C$500,"=43",'Unos prihoda i primitaka'!$L$3:$L$500,"=84")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primitaka'!$H$3:$H$500,'Unos prihoda i primitaka'!$C$3:$C$500,"=81",'Unos prihoda i primitaka'!$L$3:$L$500,"=84")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izdataka'!$K$3:$K$575,'Unos rashoda i izdataka'!$C$3:$C$575,"=11",'Unos rashoda i izdataka'!$P$3:$P$575,"=51")+SUMIFS('Unos rashoda P4'!$I$3:$I$501,'Unos rashoda P4'!$A$3:$A$501,"=11",'Unos rashoda P4'!$S$3:$S$501,"=51")</f>
        <v>0</v>
      </c>
      <c r="E23" s="74">
        <f>SUMIFS('Unos rashoda i izdataka'!$K$3:$K$575,'Unos rashoda i izdataka'!$C$3:$C$575,"=12",'Unos rashoda i izdataka'!$P$3:$P$575,"=51")+SUMIFS('Unos rashoda P4'!$I$3:$I$501,'Unos rashoda P4'!$A$3:$A$501,"=12",'Unos rashoda P4'!$S$3:$S$501,"=51")</f>
        <v>0</v>
      </c>
      <c r="F23" s="74">
        <f>SUMIFS('Unos rashoda i izdataka'!$K$3:$K$575,'Unos rashoda i izdataka'!$C$3:$C$575,"=31",'Unos rashoda i izdataka'!$P$3:$P$575,"=51")+SUMIFS('Unos rashoda P4'!$I$3:$I$501,'Unos rashoda P4'!$A$3:$A$501,"=31",'Unos rashoda P4'!$S$3:$S$501,"=51")</f>
        <v>0</v>
      </c>
      <c r="G23" s="74">
        <f>SUMIFS('Unos rashoda i izdataka'!$K$3:$K$575,'Unos rashoda i izdataka'!$C$3:$C$575,"=41",'Unos rashoda i izdataka'!$P$3:$P$575,"=51")+SUMIFS('Unos rashoda P4'!$I$3:$I$501,'Unos rashoda P4'!$A$3:$A$501,"=41",'Unos rashoda P4'!$S$3:$S$501,"=51")</f>
        <v>0</v>
      </c>
      <c r="H23" s="74">
        <f>SUMIFS('Unos rashoda i izdataka'!$K$3:$K$575,'Unos rashoda i izdataka'!$C$3:$C$575,"=43",'Unos rashoda i izdataka'!$P$3:$P$575,"=51")+SUMIFS('Unos rashoda P4'!$I$3:$I$501,'Unos rashoda P4'!$A$3:$A$501,"=43",'Unos rashoda P4'!$S$3:$S$501,"=51")</f>
        <v>0</v>
      </c>
      <c r="I23" s="74">
        <f>SUMIFS('Unos rashoda i izdataka'!$K$3:$K$575,'Unos rashoda i izdataka'!$C$3:$C$575,"=51",'Unos rashoda i izdataka'!$P$3:$P$575,"=51")+SUMIFS('Unos rashoda P4'!$I$3:$I$501,'Unos rashoda P4'!$A$3:$A$501,"=51",'Unos rashoda P4'!$S$3:$S$501,"=51")</f>
        <v>0</v>
      </c>
      <c r="J23" s="74">
        <f>SUMIFS('Unos rashoda i izdataka'!$K$3:$K$575,'Unos rashoda i izdataka'!$C$3:$C$575,"=52",'Unos rashoda i izdataka'!$P$3:$P$575,"=51")+SUMIFS('Unos rashoda P4'!$I$3:$I$501,'Unos rashoda P4'!$A$3:$A$501,"=52",'Unos rashoda P4'!$S$3:$S$501,"=51")</f>
        <v>0</v>
      </c>
      <c r="K23" s="74">
        <f>SUMIFS('Unos rashoda i izdataka'!$K$3:$K$575,'Unos rashoda i izdataka'!$C$3:$C$575,"=552",'Unos rashoda i izdataka'!$P$3:$P$575,"=51")+SUMIFS('Unos rashoda P4'!$I$3:$I$501,'Unos rashoda P4'!$A$3:$A$501,"=552",'Unos rashoda P4'!$S$3:$S$501,"=51")</f>
        <v>0</v>
      </c>
      <c r="L23" s="74">
        <f>SUMIFS('Unos rashoda i izdataka'!$K$3:$K$575,'Unos rashoda i izdataka'!$C$3:$C$575,"=559",'Unos rashoda i izdataka'!$P$3:$P$575,"=51")+SUMIFS('Unos rashoda P4'!$I$3:$I$501,'Unos rashoda P4'!$A$3:$A$501,"=559",'Unos rashoda P4'!$S$3:$S$501,"=51")</f>
        <v>0</v>
      </c>
      <c r="M23" s="74">
        <f>SUMIFS('Unos rashoda i izdataka'!$K$3:$K$575,'Unos rashoda i izdataka'!$C$3:$C$575,"=561",'Unos rashoda i izdataka'!$P$3:$P$575,"=51")+SUMIFS('Unos rashoda P4'!$I$3:$I$501,'Unos rashoda P4'!$A$3:$A$501,"=561",'Unos rashoda P4'!$S$3:$S$501,"=51")</f>
        <v>0</v>
      </c>
      <c r="N23" s="74">
        <f>SUMIFS('Unos rashoda i izdataka'!$K$3:$K$575,'Unos rashoda i izdataka'!$C$3:$C$575,"=563",'Unos rashoda i izdataka'!$P$3:$P$575,"=51")+SUMIFS('Unos rashoda P4'!$I$3:$I$501,'Unos rashoda P4'!$A$3:$A$501,"=563",'Unos rashoda P4'!$S$3:$S$501,"=51")</f>
        <v>0</v>
      </c>
      <c r="O23" s="74">
        <f>SUMIFS('Unos rashoda i izdataka'!$K$3:$K$575,'Unos rashoda i izdataka'!$C$3:$C$575,"=573",'Unos rashoda i izdataka'!$P$3:$P$575,"=51")+SUMIFS('Unos rashoda P4'!$I$3:$I$501,'Unos rashoda P4'!$A$3:$A$501,"=573",'Unos rashoda P4'!$S$3:$S$501,"=51")</f>
        <v>0</v>
      </c>
      <c r="P23" s="74">
        <f>SUMIFS('Unos rashoda i izdataka'!$K$3:$K$575,'Unos rashoda i izdataka'!$C$3:$C$575,"=575",'Unos rashoda i izdataka'!$P$3:$P$575,"=51")+SUMIFS('Unos rashoda P4'!$I$3:$I$501,'Unos rashoda P4'!$A$3:$A$501,"=575",'Unos rashoda P4'!$S$3:$S$501,"=51")</f>
        <v>0</v>
      </c>
      <c r="Q23" s="74">
        <f>SUMIFS('Unos rashoda i izdataka'!$K$3:$K$575,'Unos rashoda i izdataka'!$Q$3:$Q$575,"=576",'Unos rashoda i izdataka'!$P$3:$P$575,"=51")+SUMIFS('Unos rashoda P4'!$I$3:$I$501,'Unos rashoda P4'!$A$3:$A$501,"=576",'Unos rashoda P4'!$S$3:$S$501,"=51")</f>
        <v>0</v>
      </c>
      <c r="R23" s="74">
        <f>SUMIFS('Unos rashoda i izdataka'!$K$3:$K$575,'Unos rashoda i izdataka'!$C$3:$C$575,"=581",'Unos rashoda i izdataka'!$P$3:$P$575,"=51")+SUMIFS('Unos rashoda P4'!$I$3:$I$501,'Unos rashoda P4'!$A$3:$A$501,"=581",'Unos rashoda P4'!$S$3:$S$501,"=51")</f>
        <v>0</v>
      </c>
      <c r="S23" s="74">
        <f>SUMIFS('Unos rashoda i izdataka'!$K$3:$K$575,'Unos rashoda i izdataka'!$C$3:$C$575,"=61",'Unos rashoda i izdataka'!$P$3:$P$575,"=51")+SUMIFS('Unos rashoda P4'!$I$3:$I$501,'Unos rashoda P4'!$A$3:$A$501,"=61",'Unos rashoda P4'!$S$3:$S$501,"=51")</f>
        <v>0</v>
      </c>
      <c r="T23" s="74">
        <f>SUMIFS('Unos rashoda i izdataka'!$K$3:$K$575,'Unos rashoda i izdataka'!$C$3:$C$575,"=63",'Unos rashoda i izdataka'!$P$3:$P$575,"=51")+SUMIFS('Unos rashoda P4'!$I$3:$I$501,'Unos rashoda P4'!$A$3:$A$501,"=63",'Unos rashoda P4'!$S$3:$S$501,"=51")</f>
        <v>0</v>
      </c>
      <c r="U23" s="74">
        <f>SUMIFS('Unos rashoda i izdataka'!$K$3:$K$575,'Unos rashoda i izdataka'!$C$3:$C$575,"=71",'Unos rashoda i izdataka'!$P$3:$P$575,"=51")+SUMIFS('Unos rashoda P4'!$I$3:$I$501,'Unos rashoda P4'!$A$3:$A$501,"=71",'Unos rashoda P4'!$S$3:$S$501,"=51")</f>
        <v>0</v>
      </c>
      <c r="V23" s="74">
        <f>SUMIFS('Unos rashoda i izdataka'!$K$3:$K$575,'Unos rashoda i izdataka'!$C$3:$C$575,"=81",'Unos rashoda i izdataka'!$P$3:$P$575,"=51")+SUMIFS('Unos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izdataka'!$K$3:$K$575,'Unos rashoda i izdataka'!$C$3:$C$575,"=11",'Unos rashoda i izdataka'!$P$3:$P$575,"=54")+SUMIFS('Unos rashoda P4'!$I$3:$I$501,'Unos rashoda P4'!$A$3:$A$501,"=11",'Unos rashoda P4'!$S$3:$S$501,"=54")</f>
        <v>0</v>
      </c>
      <c r="E24" s="74">
        <f>SUMIFS('Unos rashoda i izdataka'!$K$3:$K$575,'Unos rashoda i izdataka'!$C$3:$C$575,"=12",'Unos rashoda i izdataka'!$P$3:$P$575,"=54")+SUMIFS('Unos rashoda P4'!$I$3:$I$501,'Unos rashoda P4'!$A$3:$A$501,"=12",'Unos rashoda P4'!$S$3:$S$501,"=54")</f>
        <v>0</v>
      </c>
      <c r="F24" s="74">
        <f>SUMIFS('Unos rashoda i izdataka'!$K$3:$K$575,'Unos rashoda i izdataka'!$C$3:$C$575,"=31",'Unos rashoda i izdataka'!$P$3:$P$575,"=54")+SUMIFS('Unos rashoda P4'!$I$3:$I$501,'Unos rashoda P4'!$A$3:$A$501,"=31",'Unos rashoda P4'!$S$3:$S$501,"=54")</f>
        <v>0</v>
      </c>
      <c r="G24" s="74">
        <f>SUMIFS('Unos rashoda i izdataka'!$K$3:$K$575,'Unos rashoda i izdataka'!$C$3:$C$575,"=41",'Unos rashoda i izdataka'!$P$3:$P$575,"=54")+SUMIFS('Unos rashoda P4'!$I$3:$I$501,'Unos rashoda P4'!$A$3:$A$501,"=41",'Unos rashoda P4'!$S$3:$S$501,"=54")</f>
        <v>0</v>
      </c>
      <c r="H24" s="74">
        <f>SUMIFS('Unos rashoda i izdataka'!$K$3:$K$575,'Unos rashoda i izdataka'!$C$3:$C$575,"=43",'Unos rashoda i izdataka'!$P$3:$P$575,"=54")+SUMIFS('Unos rashoda P4'!$I$3:$I$501,'Unos rashoda P4'!$A$3:$A$501,"=43",'Unos rashoda P4'!$S$3:$S$501,"=54")</f>
        <v>0</v>
      </c>
      <c r="I24" s="74">
        <f>SUMIFS('Unos rashoda i izdataka'!$K$3:$K$575,'Unos rashoda i izdataka'!$C$3:$C$575,"=51",'Unos rashoda i izdataka'!$P$3:$P$575,"=54")+SUMIFS('Unos rashoda P4'!$I$3:$I$501,'Unos rashoda P4'!$A$3:$A$501,"=51",'Unos rashoda P4'!$S$3:$S$501,"=54")</f>
        <v>0</v>
      </c>
      <c r="J24" s="74">
        <f>SUMIFS('Unos rashoda i izdataka'!$K$3:$K$575,'Unos rashoda i izdataka'!$C$3:$C$575,"=52",'Unos rashoda i izdataka'!$P$3:$P$575,"=54")+SUMIFS('Unos rashoda P4'!$I$3:$I$501,'Unos rashoda P4'!$A$3:$A$501,"=52",'Unos rashoda P4'!$S$3:$S$501,"=54")</f>
        <v>0</v>
      </c>
      <c r="K24" s="74">
        <f>SUMIFS('Unos rashoda i izdataka'!$K$3:$K$575,'Unos rashoda i izdataka'!$C$3:$C$575,"=552",'Unos rashoda i izdataka'!$P$3:$P$575,"=54")+SUMIFS('Unos rashoda P4'!$I$3:$I$501,'Unos rashoda P4'!$A$3:$A$501,"=552",'Unos rashoda P4'!$S$3:$S$501,"=54")</f>
        <v>0</v>
      </c>
      <c r="L24" s="74">
        <f>SUMIFS('Unos rashoda i izdataka'!$K$3:$K$575,'Unos rashoda i izdataka'!$C$3:$C$575,"=559",'Unos rashoda i izdataka'!$P$3:$P$575,"=54")+SUMIFS('Unos rashoda P4'!$I$3:$I$501,'Unos rashoda P4'!$A$3:$A$501,"=559",'Unos rashoda P4'!$S$3:$S$501,"=54")</f>
        <v>0</v>
      </c>
      <c r="M24" s="74">
        <f>SUMIFS('Unos rashoda i izdataka'!$K$3:$K$575,'Unos rashoda i izdataka'!$C$3:$C$575,"=561",'Unos rashoda i izdataka'!$P$3:$P$575,"=54")+SUMIFS('Unos rashoda P4'!$I$3:$I$501,'Unos rashoda P4'!$A$3:$A$501,"=561",'Unos rashoda P4'!$S$3:$S$501,"=54")</f>
        <v>0</v>
      </c>
      <c r="N24" s="74">
        <f>SUMIFS('Unos rashoda i izdataka'!$K$3:$K$575,'Unos rashoda i izdataka'!$C$3:$C$575,"=563",'Unos rashoda i izdataka'!$P$3:$P$575,"=54")+SUMIFS('Unos rashoda P4'!$I$3:$I$501,'Unos rashoda P4'!$A$3:$A$501,"=563",'Unos rashoda P4'!$S$3:$S$501,"=54")</f>
        <v>0</v>
      </c>
      <c r="O24" s="74">
        <f>SUMIFS('Unos rashoda i izdataka'!$K$3:$K$575,'Unos rashoda i izdataka'!$C$3:$C$575,"=573",'Unos rashoda i izdataka'!$P$3:$P$575,"=54")+SUMIFS('Unos rashoda P4'!$I$3:$I$501,'Unos rashoda P4'!$A$3:$A$501,"=573",'Unos rashoda P4'!$S$3:$S$501,"=54")</f>
        <v>0</v>
      </c>
      <c r="P24" s="74">
        <f>SUMIFS('Unos rashoda i izdataka'!$K$3:$K$575,'Unos rashoda i izdataka'!$C$3:$C$575,"=575",'Unos rashoda i izdataka'!$P$3:$P$575,"=54")+SUMIFS('Unos rashoda P4'!$I$3:$I$501,'Unos rashoda P4'!$A$3:$A$501,"=575",'Unos rashoda P4'!$S$3:$S$501,"=54")</f>
        <v>0</v>
      </c>
      <c r="Q24" s="74">
        <f>SUMIFS('Unos rashoda i izdataka'!$K$3:$K$575,'Unos rashoda i izdataka'!$Q$3:$Q$575,"=576",'Unos rashoda i izdataka'!$P$3:$P$575,"=54")+SUMIFS('Unos rashoda P4'!$I$3:$I$501,'Unos rashoda P4'!$A$3:$A$501,"=576",'Unos rashoda P4'!$S$3:$S$501,"=54")</f>
        <v>0</v>
      </c>
      <c r="R24" s="74">
        <f>SUMIFS('Unos rashoda i izdataka'!$K$3:$K$575,'Unos rashoda i izdataka'!$C$3:$C$575,"=581",'Unos rashoda i izdataka'!$P$3:$P$575,"=54")+SUMIFS('Unos rashoda P4'!$I$3:$I$501,'Unos rashoda P4'!$A$3:$A$501,"=581",'Unos rashoda P4'!$S$3:$S$501,"=54")</f>
        <v>0</v>
      </c>
      <c r="S24" s="74">
        <f>SUMIFS('Unos rashoda i izdataka'!$K$3:$K$575,'Unos rashoda i izdataka'!$C$3:$C$575,"=61",'Unos rashoda i izdataka'!$P$3:$P$575,"=54")+SUMIFS('Unos rashoda P4'!$I$3:$I$501,'Unos rashoda P4'!$A$3:$A$501,"=61",'Unos rashoda P4'!$S$3:$S$501,"=54")</f>
        <v>0</v>
      </c>
      <c r="T24" s="74">
        <f>SUMIFS('Unos rashoda i izdataka'!$K$3:$K$575,'Unos rashoda i izdataka'!$C$3:$C$575,"=63",'Unos rashoda i izdataka'!$P$3:$P$575,"=54")+SUMIFS('Unos rashoda P4'!$I$3:$I$501,'Unos rashoda P4'!$A$3:$A$501,"=63",'Unos rashoda P4'!$S$3:$S$501,"=54")</f>
        <v>0</v>
      </c>
      <c r="U24" s="74">
        <f>SUMIFS('Unos rashoda i izdataka'!$K$3:$K$575,'Unos rashoda i izdataka'!$C$3:$C$575,"=71",'Unos rashoda i izdataka'!$P$3:$P$575,"=54")+SUMIFS('Unos rashoda P4'!$I$3:$I$501,'Unos rashoda P4'!$A$3:$A$501,"=71",'Unos rashoda P4'!$S$3:$S$501,"=54")</f>
        <v>0</v>
      </c>
      <c r="V24" s="74">
        <f>SUMIFS('Unos rashoda i izdataka'!$K$3:$K$575,'Unos rashoda i izdataka'!$C$3:$C$575,"=81",'Unos rashoda i izdataka'!$P$3:$P$575,"=54")+SUMIFS('Unos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56" t="s">
        <v>236</v>
      </c>
      <c r="B26" s="357"/>
      <c r="C26" s="358" t="s">
        <v>5267</v>
      </c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60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primitaka'!$I$3:$I$500,'Unos prihoda i primitaka'!$C$3:$C$500,"=43",'Unos prihoda i primitaka'!$L$3:$L$500,"=81")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primitaka'!$I$3:$I$500,'Unos prihoda i primitaka'!$C$3:$C$500,"=81",'Unos prihoda i primitaka'!$L$3:$L$500,"=81")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primitaka'!$I$3:$I$500,'Unos prihoda i primitaka'!$C$3:$C$500,"=43",'Unos prihoda i primitaka'!$L$3:$L$500,"=82")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primitaka'!$I$3:$I$500,'Unos prihoda i primitaka'!$C$3:$C$500,"=81",'Unos prihoda i primitaka'!$L$3:$L$500,"=82")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primitaka'!$I$3:$I$500,'Unos prihoda i primitaka'!$C$3:$C$500,"=43",'Unos prihoda i primitaka'!$L$3:$L$500,"=83")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primitaka'!$I$3:$I$500,'Unos prihoda i primitaka'!$C$3:$C$500,"=81",'Unos prihoda i primitaka'!$L$3:$L$500,"=83")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primitaka'!$I$3:$I$500,'Unos prihoda i primitaka'!$C$3:$C$500,"=43",'Unos prihoda i primitaka'!$L$3:$L$500,"=84")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primitaka'!$I$3:$I$500,'Unos prihoda i primitaka'!$C$3:$C$500,"=81",'Unos prihoda i primitaka'!$L$3:$L$500,"=84")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izdataka'!$L$3:$L$575,'Unos rashoda i izdataka'!$C$3:$C$575,"=11",'Unos rashoda i izdataka'!$P$3:$P$575,"=51")+SUMIFS('Unos rashoda P4'!$J$3:$J$501,'Unos rashoda P4'!$A$3:$A$501,"=11",'Unos rashoda P4'!$S$3:$S$501,"=51")</f>
        <v>0</v>
      </c>
      <c r="E34" s="74">
        <f>SUMIFS('Unos rashoda i izdataka'!$L$3:$L$575,'Unos rashoda i izdataka'!$C$3:$C$575,"=12",'Unos rashoda i izdataka'!$P$3:$P$575,"=51")+SUMIFS('Unos rashoda P4'!$J$3:$J$501,'Unos rashoda P4'!$A$3:$A$501,"=12",'Unos rashoda P4'!$S$3:$S$501,"=51")</f>
        <v>0</v>
      </c>
      <c r="F34" s="74">
        <f>SUMIFS('Unos rashoda i izdataka'!$L$3:$L$575,'Unos rashoda i izdataka'!$C$3:$C$575,"=31",'Unos rashoda i izdataka'!$P$3:$P$575,"=51")+SUMIFS('Unos rashoda P4'!$J$3:$J$501,'Unos rashoda P4'!$A$3:$A$501,"=31",'Unos rashoda P4'!$S$3:$S$501,"=51")</f>
        <v>0</v>
      </c>
      <c r="G34" s="74">
        <f>SUMIFS('Unos rashoda i izdataka'!$L$3:$L$575,'Unos rashoda i izdataka'!$C$3:$C$575,"=41",'Unos rashoda i izdataka'!$P$3:$P$575,"=51")+SUMIFS('Unos rashoda P4'!$J$3:$J$501,'Unos rashoda P4'!$A$3:$A$501,"=41",'Unos rashoda P4'!$S$3:$S$501,"=51")</f>
        <v>0</v>
      </c>
      <c r="H34" s="74">
        <f>SUMIFS('Unos rashoda i izdataka'!$L$3:$L$575,'Unos rashoda i izdataka'!$C$3:$C$575,"=43",'Unos rashoda i izdataka'!$P$3:$P$575,"=51")+SUMIFS('Unos rashoda P4'!$J$3:$J$501,'Unos rashoda P4'!$A$3:$A$501,"=43",'Unos rashoda P4'!$S$3:$S$501,"=51")</f>
        <v>0</v>
      </c>
      <c r="I34" s="74">
        <f>SUMIFS('Unos rashoda i izdataka'!$L$3:$L$575,'Unos rashoda i izdataka'!$C$3:$C$575,"=51",'Unos rashoda i izdataka'!$P$3:$P$575,"=51")+SUMIFS('Unos rashoda P4'!$J$3:$J$501,'Unos rashoda P4'!$A$3:$A$501,"=51",'Unos rashoda P4'!$S$3:$S$501,"=51")</f>
        <v>0</v>
      </c>
      <c r="J34" s="74">
        <f>SUMIFS('Unos rashoda i izdataka'!$L$3:$L$575,'Unos rashoda i izdataka'!$C$3:$C$575,"=52",'Unos rashoda i izdataka'!$P$3:$P$575,"=51")+SUMIFS('Unos rashoda P4'!$J$3:$J$501,'Unos rashoda P4'!$A$3:$A$501,"=52",'Unos rashoda P4'!$S$3:$S$501,"=51")</f>
        <v>0</v>
      </c>
      <c r="K34" s="74">
        <f>SUMIFS('Unos rashoda i izdataka'!$L$3:$L$575,'Unos rashoda i izdataka'!$C$3:$C$575,"=552",'Unos rashoda i izdataka'!$P$3:$P$575,"=51")+SUMIFS('Unos rashoda P4'!$J$3:$J$501,'Unos rashoda P4'!$A$3:$A$501,"=552",'Unos rashoda P4'!$S$3:$S$501,"=51")</f>
        <v>0</v>
      </c>
      <c r="L34" s="74">
        <f>SUMIFS('Unos rashoda i izdataka'!$L$3:$L$575,'Unos rashoda i izdataka'!$C$3:$C$575,"=559",'Unos rashoda i izdataka'!$P$3:$P$575,"=51")+SUMIFS('Unos rashoda P4'!$J$3:$J$501,'Unos rashoda P4'!$A$3:$A$501,"=559",'Unos rashoda P4'!$S$3:$S$501,"=51")</f>
        <v>0</v>
      </c>
      <c r="M34" s="74">
        <f>SUMIFS('Unos rashoda i izdataka'!$L$3:$L$575,'Unos rashoda i izdataka'!$C$3:$C$575,"=561",'Unos rashoda i izdataka'!$P$3:$P$575,"=51")+SUMIFS('Unos rashoda P4'!$J$3:$J$501,'Unos rashoda P4'!$A$3:$A$501,"=561",'Unos rashoda P4'!$S$3:$S$501,"=51")</f>
        <v>0</v>
      </c>
      <c r="N34" s="74">
        <f>SUMIFS('Unos rashoda i izdataka'!$L$3:$L$575,'Unos rashoda i izdataka'!$C$3:$C$575,"=563",'Unos rashoda i izdataka'!$P$3:$P$575,"=51")+SUMIFS('Unos rashoda P4'!$J$3:$J$501,'Unos rashoda P4'!$A$3:$A$501,"=563",'Unos rashoda P4'!$S$3:$S$501,"=51")</f>
        <v>0</v>
      </c>
      <c r="O34" s="74">
        <f>SUMIFS('Unos rashoda i izdataka'!$L$3:$L$575,'Unos rashoda i izdataka'!$C$3:$C$575,"=573",'Unos rashoda i izdataka'!$P$3:$P$575,"=51")+SUMIFS('Unos rashoda P4'!$J$3:$J$501,'Unos rashoda P4'!$A$3:$A$501,"=573",'Unos rashoda P4'!$S$3:$S$501,"=51")</f>
        <v>0</v>
      </c>
      <c r="P34" s="74">
        <f>SUMIFS('Unos rashoda i izdataka'!$L$3:$L$575,'Unos rashoda i izdataka'!$C$3:$C$575,"=575",'Unos rashoda i izdataka'!$P$3:$P$575,"=51")+SUMIFS('Unos rashoda P4'!$J$3:$J$501,'Unos rashoda P4'!$A$3:$A$501,"=575",'Unos rashoda P4'!$S$3:$S$501,"=51")</f>
        <v>0</v>
      </c>
      <c r="Q34" s="74">
        <f>SUMIFS('Unos rashoda i izdataka'!$L$3:$L$575,'Unos rashoda i izdataka'!$Q$3:$Q$575,"=576",'Unos rashoda i izdataka'!$P$3:$P$575,"=51")+SUMIFS('Unos rashoda P4'!$J$3:$J$501,'Unos rashoda P4'!$A$3:$A$501,"=576",'Unos rashoda P4'!$S$3:$S$501,"=51")</f>
        <v>0</v>
      </c>
      <c r="R34" s="74">
        <f>SUMIFS('Unos rashoda i izdataka'!$L$3:$L$575,'Unos rashoda i izdataka'!$C$3:$C$575,"=581",'Unos rashoda i izdataka'!$P$3:$P$575,"=51")+SUMIFS('Unos rashoda P4'!$J$3:$J$501,'Unos rashoda P4'!$A$3:$A$501,"=581",'Unos rashoda P4'!$S$3:$S$501,"=51")</f>
        <v>0</v>
      </c>
      <c r="S34" s="74">
        <f>SUMIFS('Unos rashoda i izdataka'!$L$3:$L$575,'Unos rashoda i izdataka'!$C$3:$C$575,"=61",'Unos rashoda i izdataka'!$P$3:$P$575,"=51")+SUMIFS('Unos rashoda P4'!$J$3:$J$501,'Unos rashoda P4'!$A$3:$A$501,"=61",'Unos rashoda P4'!$S$3:$S$501,"=51")</f>
        <v>0</v>
      </c>
      <c r="T34" s="74">
        <f>SUMIFS('Unos rashoda i izdataka'!$L$3:$L$575,'Unos rashoda i izdataka'!$C$3:$C$575,"=63",'Unos rashoda i izdataka'!$P$3:$P$575,"=51")+SUMIFS('Unos rashoda P4'!$J$3:$J$501,'Unos rashoda P4'!$A$3:$A$501,"=63",'Unos rashoda P4'!$S$3:$S$501,"=51")</f>
        <v>0</v>
      </c>
      <c r="U34" s="74">
        <f>SUMIFS('Unos rashoda i izdataka'!$L$3:$L$575,'Unos rashoda i izdataka'!$C$3:$C$575,"=71",'Unos rashoda i izdataka'!$P$3:$P$575,"=51")+SUMIFS('Unos rashoda P4'!$J$3:$J$501,'Unos rashoda P4'!$A$3:$A$501,"=71",'Unos rashoda P4'!$S$3:$S$501,"=51")</f>
        <v>0</v>
      </c>
      <c r="V34" s="74">
        <f>SUMIFS('Unos rashoda i izdataka'!$L$3:$L$575,'Unos rashoda i izdataka'!$C$3:$C$575,"=81",'Unos rashoda i izdataka'!$P$3:$P$575,"=51")+SUMIFS('Unos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izdataka'!$L$3:$L$575,'Unos rashoda i izdataka'!$C$3:$C$575,"=11",'Unos rashoda i izdataka'!$P$3:$P$575,"=54")+SUMIFS('Unos rashoda P4'!$J$3:$J$501,'Unos rashoda P4'!$A$3:$A$501,"=11",'Unos rashoda P4'!$S$3:$S$501,"=54")</f>
        <v>0</v>
      </c>
      <c r="E35" s="74">
        <f>SUMIFS('Unos rashoda i izdataka'!$L$3:$L$575,'Unos rashoda i izdataka'!$C$3:$C$575,"=12",'Unos rashoda i izdataka'!$P$3:$P$575,"=54")+SUMIFS('Unos rashoda P4'!$J$3:$J$501,'Unos rashoda P4'!$A$3:$A$501,"=12",'Unos rashoda P4'!$S$3:$S$501,"=54")</f>
        <v>0</v>
      </c>
      <c r="F35" s="74">
        <f>SUMIFS('Unos rashoda i izdataka'!$L$3:$L$575,'Unos rashoda i izdataka'!$C$3:$C$575,"=31",'Unos rashoda i izdataka'!$P$3:$P$575,"=54")+SUMIFS('Unos rashoda P4'!$J$3:$J$501,'Unos rashoda P4'!$A$3:$A$501,"=31",'Unos rashoda P4'!$S$3:$S$501,"=54")</f>
        <v>0</v>
      </c>
      <c r="G35" s="74">
        <f>SUMIFS('Unos rashoda i izdataka'!$L$3:$L$575,'Unos rashoda i izdataka'!$C$3:$C$575,"=41",'Unos rashoda i izdataka'!$P$3:$P$575,"=54")+SUMIFS('Unos rashoda P4'!$J$3:$J$501,'Unos rashoda P4'!$A$3:$A$501,"=41",'Unos rashoda P4'!$S$3:$S$501,"=54")</f>
        <v>0</v>
      </c>
      <c r="H35" s="74">
        <f>SUMIFS('Unos rashoda i izdataka'!$L$3:$L$575,'Unos rashoda i izdataka'!$C$3:$C$575,"=43",'Unos rashoda i izdataka'!$P$3:$P$575,"=54")+SUMIFS('Unos rashoda P4'!$J$3:$J$501,'Unos rashoda P4'!$A$3:$A$501,"=43",'Unos rashoda P4'!$S$3:$S$501,"=54")</f>
        <v>0</v>
      </c>
      <c r="I35" s="74">
        <f>SUMIFS('Unos rashoda i izdataka'!$L$3:$L$575,'Unos rashoda i izdataka'!$C$3:$C$575,"=51",'Unos rashoda i izdataka'!$P$3:$P$575,"=54")+SUMIFS('Unos rashoda P4'!$J$3:$J$501,'Unos rashoda P4'!$A$3:$A$501,"=51",'Unos rashoda P4'!$S$3:$S$501,"=54")</f>
        <v>0</v>
      </c>
      <c r="J35" s="74">
        <f>SUMIFS('Unos rashoda i izdataka'!$L$3:$L$575,'Unos rashoda i izdataka'!$C$3:$C$575,"=52",'Unos rashoda i izdataka'!$P$3:$P$575,"=54")+SUMIFS('Unos rashoda P4'!$J$3:$J$501,'Unos rashoda P4'!$A$3:$A$501,"=52",'Unos rashoda P4'!$S$3:$S$501,"=54")</f>
        <v>0</v>
      </c>
      <c r="K35" s="74">
        <f>SUMIFS('Unos rashoda i izdataka'!$L$3:$L$575,'Unos rashoda i izdataka'!$C$3:$C$575,"=552",'Unos rashoda i izdataka'!$P$3:$P$575,"=54")+SUMIFS('Unos rashoda P4'!$J$3:$J$501,'Unos rashoda P4'!$A$3:$A$501,"=552",'Unos rashoda P4'!$S$3:$S$501,"=54")</f>
        <v>0</v>
      </c>
      <c r="L35" s="74">
        <f>SUMIFS('Unos rashoda i izdataka'!$L$3:$L$575,'Unos rashoda i izdataka'!$C$3:$C$575,"=559",'Unos rashoda i izdataka'!$P$3:$P$575,"=54")+SUMIFS('Unos rashoda P4'!$J$3:$J$501,'Unos rashoda P4'!$A$3:$A$501,"=559",'Unos rashoda P4'!$S$3:$S$501,"=54")</f>
        <v>0</v>
      </c>
      <c r="M35" s="74">
        <f>SUMIFS('Unos rashoda i izdataka'!$L$3:$L$575,'Unos rashoda i izdataka'!$C$3:$C$575,"=561",'Unos rashoda i izdataka'!$P$3:$P$575,"=54")+SUMIFS('Unos rashoda P4'!$J$3:$J$501,'Unos rashoda P4'!$A$3:$A$501,"=561",'Unos rashoda P4'!$S$3:$S$501,"=54")</f>
        <v>0</v>
      </c>
      <c r="N35" s="74">
        <f>SUMIFS('Unos rashoda i izdataka'!$L$3:$L$575,'Unos rashoda i izdataka'!$C$3:$C$575,"=563",'Unos rashoda i izdataka'!$P$3:$P$575,"=54")+SUMIFS('Unos rashoda P4'!$J$3:$J$501,'Unos rashoda P4'!$A$3:$A$501,"=563",'Unos rashoda P4'!$S$3:$S$501,"=54")</f>
        <v>0</v>
      </c>
      <c r="O35" s="74">
        <f>SUMIFS('Unos rashoda i izdataka'!$L$3:$L$575,'Unos rashoda i izdataka'!$C$3:$C$575,"=573",'Unos rashoda i izdataka'!$P$3:$P$575,"=54")+SUMIFS('Unos rashoda P4'!$J$3:$J$501,'Unos rashoda P4'!$A$3:$A$501,"=573",'Unos rashoda P4'!$S$3:$S$501,"=54")</f>
        <v>0</v>
      </c>
      <c r="P35" s="74">
        <f>SUMIFS('Unos rashoda i izdataka'!$L$3:$L$575,'Unos rashoda i izdataka'!$C$3:$C$575,"=575",'Unos rashoda i izdataka'!$P$3:$P$575,"=54")+SUMIFS('Unos rashoda P4'!$J$3:$J$501,'Unos rashoda P4'!$A$3:$A$501,"=575",'Unos rashoda P4'!$S$3:$S$501,"=54")</f>
        <v>0</v>
      </c>
      <c r="Q35" s="74">
        <f>SUMIFS('Unos rashoda i izdataka'!$L$3:$L$575,'Unos rashoda i izdataka'!$Q$3:$Q$575,"=576",'Unos rashoda i izdataka'!$P$3:$P$575,"=54")+SUMIFS('Unos rashoda P4'!$J$3:$J$501,'Unos rashoda P4'!$A$3:$A$501,"=576",'Unos rashoda P4'!$S$3:$S$501,"=54")</f>
        <v>0</v>
      </c>
      <c r="R35" s="74">
        <f>SUMIFS('Unos rashoda i izdataka'!$L$3:$L$575,'Unos rashoda i izdataka'!$C$3:$C$575,"=581",'Unos rashoda i izdataka'!$P$3:$P$575,"=54")+SUMIFS('Unos rashoda P4'!$J$3:$J$501,'Unos rashoda P4'!$A$3:$A$501,"=581",'Unos rashoda P4'!$S$3:$S$501,"=54")</f>
        <v>0</v>
      </c>
      <c r="S35" s="74">
        <f>SUMIFS('Unos rashoda i izdataka'!$L$3:$L$575,'Unos rashoda i izdataka'!$C$3:$C$575,"=61",'Unos rashoda i izdataka'!$P$3:$P$575,"=54")+SUMIFS('Unos rashoda P4'!$J$3:$J$501,'Unos rashoda P4'!$A$3:$A$501,"=61",'Unos rashoda P4'!$S$3:$S$501,"=54")</f>
        <v>0</v>
      </c>
      <c r="T35" s="74">
        <f>SUMIFS('Unos rashoda i izdataka'!$L$3:$L$575,'Unos rashoda i izdataka'!$C$3:$C$575,"=63",'Unos rashoda i izdataka'!$P$3:$P$575,"=54")+SUMIFS('Unos rashoda P4'!$J$3:$J$501,'Unos rashoda P4'!$A$3:$A$501,"=63",'Unos rashoda P4'!$S$3:$S$501,"=54")</f>
        <v>0</v>
      </c>
      <c r="U35" s="74">
        <f>SUMIFS('Unos rashoda i izdataka'!$L$3:$L$575,'Unos rashoda i izdataka'!$C$3:$C$575,"=71",'Unos rashoda i izdataka'!$P$3:$P$575,"=54")+SUMIFS('Unos rashoda P4'!$J$3:$J$501,'Unos rashoda P4'!$A$3:$A$501,"=71",'Unos rashoda P4'!$S$3:$S$501,"=54")</f>
        <v>0</v>
      </c>
      <c r="V35" s="74">
        <f>SUMIFS('Unos rashoda i izdataka'!$L$3:$L$575,'Unos rashoda i izdataka'!$C$3:$C$575,"=81",'Unos rashoda i izdataka'!$P$3:$P$575,"=54")+SUMIFS('Unos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frane</cp:lastModifiedBy>
  <cp:lastPrinted>2022-09-18T21:57:43Z</cp:lastPrinted>
  <dcterms:created xsi:type="dcterms:W3CDTF">2018-09-10T07:36:17Z</dcterms:created>
  <dcterms:modified xsi:type="dcterms:W3CDTF">2023-07-25T16:19:37Z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